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76" windowWidth="9720" windowHeight="7320" tabRatio="808" activeTab="2"/>
  </bookViews>
  <sheets>
    <sheet name="RPM " sheetId="1" r:id="rId1"/>
    <sheet name="DEFLECTION" sheetId="2" r:id="rId2"/>
    <sheet name="ANGLE INCLINE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  <sheet name="Sheet9" sheetId="12" r:id="rId12"/>
    <sheet name="Sheet10" sheetId="13" r:id="rId13"/>
  </sheets>
  <externalReferences>
    <externalReference r:id="rId16"/>
  </externalReferences>
  <definedNames>
    <definedName name="CAP">'RPM '!$E$11</definedName>
    <definedName name="CFHRPM">'RPM '!$D$32</definedName>
    <definedName name="DIA.">'RPM '!$E$7</definedName>
    <definedName name="IDSI">'RPM '!$D$30</definedName>
    <definedName name="ODSI">'RPM '!$D$31</definedName>
    <definedName name="PIPEOD">'RPM '!$E$9</definedName>
    <definedName name="PITCH">'RPM '!$E$8</definedName>
    <definedName name="_xlnm.Print_Area" localSheetId="2">'ANGLE INCLINE'!$B$2:$X$22</definedName>
    <definedName name="_xlnm.Print_Area" localSheetId="1">'DEFLECTION'!$C$2:$L$22</definedName>
    <definedName name="_xlnm.Print_Area" localSheetId="0">'RPM '!$C$3:$F$18</definedName>
    <definedName name="RAD">'RPM '!$I$7</definedName>
    <definedName name="RADID">'RPM '!$I$8</definedName>
    <definedName name="RPM">'RPM '!$D$33</definedName>
    <definedName name="TL">'RPM '!$E$10</definedName>
    <definedName name="VER" localSheetId="2">'[1]RPM '!$D$5</definedName>
    <definedName name="VER" localSheetId="1">'[1]RPM '!$D$5</definedName>
    <definedName name="VER">'RPM '!$D$5</definedName>
  </definedNames>
  <calcPr fullCalcOnLoad="1"/>
</workbook>
</file>

<file path=xl/sharedStrings.xml><?xml version="1.0" encoding="utf-8"?>
<sst xmlns="http://schemas.openxmlformats.org/spreadsheetml/2006/main" count="195" uniqueCount="108">
  <si>
    <t>SCREW CONVEYOR SPEED CALCULATION</t>
  </si>
  <si>
    <t>VERSION 1.1 7/10/98</t>
  </si>
  <si>
    <t xml:space="preserve">SCREW DIA., INCHES : </t>
  </si>
  <si>
    <t>OD-RAD</t>
  </si>
  <si>
    <t xml:space="preserve">FLIGHT PITCH, INCHES : </t>
  </si>
  <si>
    <t>ID-RAD</t>
  </si>
  <si>
    <t xml:space="preserve">PIPE / TUBE O.D., INCHES : </t>
  </si>
  <si>
    <t xml:space="preserve">% OF TROUGH LOAD (30,45,ETC.): </t>
  </si>
  <si>
    <t xml:space="preserve">CAPACITY REQ'D. , CU. FT. / HR : </t>
  </si>
  <si>
    <t xml:space="preserve">CFH / RPM = </t>
  </si>
  <si>
    <t xml:space="preserve">SCREW RPM = </t>
  </si>
  <si>
    <r>
      <t xml:space="preserve">FILL IN </t>
    </r>
    <r>
      <rPr>
        <b/>
        <u val="single"/>
        <sz val="8"/>
        <color indexed="17"/>
        <rFont val="Arial"/>
        <family val="2"/>
      </rPr>
      <t>GREEN CELLS</t>
    </r>
    <r>
      <rPr>
        <b/>
        <sz val="8"/>
        <color indexed="10"/>
        <rFont val="Arial"/>
        <family val="2"/>
      </rPr>
      <t xml:space="preserve"> ONLY</t>
    </r>
  </si>
  <si>
    <t>ID-SI</t>
  </si>
  <si>
    <t>OD-SI</t>
  </si>
  <si>
    <t>CFH/RPM</t>
  </si>
  <si>
    <t>RPM</t>
  </si>
  <si>
    <t xml:space="preserve">SCREW DEFLECTION </t>
  </si>
  <si>
    <t>STD. CALCULATON</t>
  </si>
  <si>
    <t>SPECIAL PIPE / TUBE / SHAFT</t>
  </si>
  <si>
    <t>CACULATION BY WEIGHT</t>
  </si>
  <si>
    <t xml:space="preserve">SCREW DIA. : </t>
  </si>
  <si>
    <t xml:space="preserve">SCREW WEIGHT : </t>
  </si>
  <si>
    <t xml:space="preserve">FLIGHT PITCH : </t>
  </si>
  <si>
    <t xml:space="preserve">NOMINAL PIPE SIZE : </t>
  </si>
  <si>
    <t xml:space="preserve">FLIGHT THK'NS : </t>
  </si>
  <si>
    <r>
      <t>PIPE SCH. (</t>
    </r>
    <r>
      <rPr>
        <b/>
        <sz val="12"/>
        <color indexed="17"/>
        <rFont val="Arial"/>
        <family val="2"/>
      </rPr>
      <t>40, 80</t>
    </r>
    <r>
      <rPr>
        <b/>
        <sz val="12"/>
        <color indexed="16"/>
        <rFont val="Arial"/>
        <family val="2"/>
      </rPr>
      <t xml:space="preserve">) : </t>
    </r>
  </si>
  <si>
    <t xml:space="preserve">PIPE / TUBE O.D. : </t>
  </si>
  <si>
    <t xml:space="preserve">LENGTH , FEET: </t>
  </si>
  <si>
    <t xml:space="preserve">WALL THK'NS : </t>
  </si>
  <si>
    <t xml:space="preserve">MID-SPAN. DEFL. : </t>
  </si>
  <si>
    <t xml:space="preserve">LENGTH, FEET : </t>
  </si>
  <si>
    <t>I.D.  #2</t>
  </si>
  <si>
    <t xml:space="preserve">M, SS ? : </t>
  </si>
  <si>
    <t xml:space="preserve">OPTION : </t>
  </si>
  <si>
    <t>I.D. #3</t>
  </si>
  <si>
    <t>1-1/4" TO 12" PIPE, SCH. 40 &amp; 80</t>
  </si>
  <si>
    <t>FOR SHAFT, I.D. = 0</t>
  </si>
  <si>
    <t xml:space="preserve">Moment of Inertia. : </t>
  </si>
  <si>
    <t>RM WEIGHTS</t>
  </si>
  <si>
    <t>M.I - PIPE</t>
  </si>
  <si>
    <t>WTS</t>
  </si>
  <si>
    <t xml:space="preserve">TOTAL WEIGHT : </t>
  </si>
  <si>
    <t>DEC.</t>
  </si>
  <si>
    <t>MS</t>
  </si>
  <si>
    <t>SS</t>
  </si>
  <si>
    <t>SIZE</t>
  </si>
  <si>
    <t xml:space="preserve">O.D. </t>
  </si>
  <si>
    <t>M.I. / 40</t>
  </si>
  <si>
    <t>M.I 80</t>
  </si>
  <si>
    <t>WT / 40</t>
  </si>
  <si>
    <t>WT/ 80</t>
  </si>
  <si>
    <t xml:space="preserve">MID-SPAN DEFL. : </t>
  </si>
  <si>
    <t>USE DECIMAL INCHES UNLESS NOTED</t>
  </si>
  <si>
    <r>
      <t xml:space="preserve">FILL IN </t>
    </r>
    <r>
      <rPr>
        <b/>
        <u val="single"/>
        <sz val="12"/>
        <color indexed="17"/>
        <rFont val="Arial"/>
        <family val="2"/>
      </rPr>
      <t>GREEN CELLS</t>
    </r>
    <r>
      <rPr>
        <b/>
        <sz val="12"/>
        <color indexed="10"/>
        <rFont val="Arial"/>
        <family val="2"/>
      </rPr>
      <t xml:space="preserve"> ONLY </t>
    </r>
  </si>
  <si>
    <t>PIPE OD=</t>
  </si>
  <si>
    <t>PIPE WT=</t>
  </si>
  <si>
    <t xml:space="preserve">MS = </t>
  </si>
  <si>
    <t xml:space="preserve">MI - 40= </t>
  </si>
  <si>
    <t xml:space="preserve">SS = </t>
  </si>
  <si>
    <t xml:space="preserve">MI - 80= </t>
  </si>
  <si>
    <t xml:space="preserve">WT= </t>
  </si>
  <si>
    <t xml:space="preserve">MI = </t>
  </si>
  <si>
    <t>FLT</t>
  </si>
  <si>
    <t>OD=</t>
  </si>
  <si>
    <t>ID=</t>
  </si>
  <si>
    <t>MS=</t>
  </si>
  <si>
    <t>SI-OD</t>
  </si>
  <si>
    <t>SS=</t>
  </si>
  <si>
    <t>SI-ID</t>
  </si>
  <si>
    <t xml:space="preserve">FLT WT= </t>
  </si>
  <si>
    <t>SQ.FT.</t>
  </si>
  <si>
    <t>FLT WT</t>
  </si>
  <si>
    <t>QTY FLT</t>
  </si>
  <si>
    <t>TTL FLT WT</t>
  </si>
  <si>
    <t>RD=</t>
  </si>
  <si>
    <t>PIPE WT</t>
  </si>
  <si>
    <t>SD=</t>
  </si>
  <si>
    <t>TTL WT</t>
  </si>
  <si>
    <t>MS-X=</t>
  </si>
  <si>
    <t>PIPE/TUBE/SHAFT WT</t>
  </si>
  <si>
    <t xml:space="preserve">SS-X= </t>
  </si>
  <si>
    <t>PIPE WT./FT</t>
  </si>
  <si>
    <t>TTL PIPE WT.</t>
  </si>
  <si>
    <t>DEFL. #1</t>
  </si>
  <si>
    <t>DEFL. #2</t>
  </si>
  <si>
    <t>DEFL. #3A</t>
  </si>
  <si>
    <t>DEFL. #3B</t>
  </si>
  <si>
    <t xml:space="preserve">          ANGLE OF INCLINE  /   SIDES OF A TRIANGLE</t>
  </si>
  <si>
    <t xml:space="preserve">KNOWN : </t>
  </si>
  <si>
    <t xml:space="preserve">ANGLE : </t>
  </si>
  <si>
    <t>^</t>
  </si>
  <si>
    <t xml:space="preserve">CONV. LG. : </t>
  </si>
  <si>
    <t>/</t>
  </si>
  <si>
    <t>|</t>
  </si>
  <si>
    <t xml:space="preserve">RISE : </t>
  </si>
  <si>
    <t xml:space="preserve">FIND : </t>
  </si>
  <si>
    <t xml:space="preserve">RISE = </t>
  </si>
  <si>
    <t xml:space="preserve">RUN = </t>
  </si>
  <si>
    <t>CONV.</t>
  </si>
  <si>
    <t xml:space="preserve">ANGLE = </t>
  </si>
  <si>
    <t>LG.</t>
  </si>
  <si>
    <t>RISE</t>
  </si>
  <si>
    <t xml:space="preserve">RUN : </t>
  </si>
  <si>
    <t xml:space="preserve">CONV. LG. = </t>
  </si>
  <si>
    <t xml:space="preserve"> /_</t>
  </si>
  <si>
    <t>_</t>
  </si>
  <si>
    <t>RUN</t>
  </si>
  <si>
    <r>
      <t xml:space="preserve">FILL IN </t>
    </r>
    <r>
      <rPr>
        <b/>
        <u val="single"/>
        <sz val="11"/>
        <color indexed="17"/>
        <rFont val="Arial"/>
        <family val="2"/>
      </rPr>
      <t>GREEN CELLS</t>
    </r>
    <r>
      <rPr>
        <b/>
        <sz val="11"/>
        <color indexed="10"/>
        <rFont val="Arial"/>
        <family val="2"/>
      </rPr>
      <t xml:space="preserve"> ONLY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</si>
</sst>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\ &quot;Lbs.&quot;"/>
    <numFmt numFmtId="166" formatCode="0.00\ \ &quot;IN.&quot;"/>
    <numFmt numFmtId="167" formatCode="0.0000\ \ &quot;IN.&quot;"/>
    <numFmt numFmtId="168" formatCode="0.00000"/>
    <numFmt numFmtId="169" formatCode="0.000\ \ &quot;IN.&quot;"/>
    <numFmt numFmtId="170" formatCode="0.000\ &quot;FT&quot;"/>
    <numFmt numFmtId="171" formatCode="0.000\ &quot;DEG.&quot;"/>
    <numFmt numFmtId="172" formatCode="0\ &quot;%&quot;"/>
    <numFmt numFmtId="173" formatCode="0.000\ &quot;CFH&quot;"/>
    <numFmt numFmtId="174" formatCode="0.00\ &quot;DEG.&quot;"/>
  </numFmts>
  <fonts count="6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8"/>
      <name val="Times New Roman"/>
      <family val="1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u val="single"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8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7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57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4" fillId="33" borderId="10" xfId="57" applyFill="1" applyBorder="1" applyAlignment="1">
      <alignment vertical="center"/>
      <protection/>
    </xf>
    <xf numFmtId="0" fontId="5" fillId="33" borderId="11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4" fillId="33" borderId="12" xfId="57" applyFill="1" applyBorder="1" applyAlignment="1">
      <alignment vertical="center"/>
      <protection/>
    </xf>
    <xf numFmtId="0" fontId="4" fillId="33" borderId="13" xfId="57" applyFill="1" applyBorder="1" applyAlignment="1">
      <alignment vertical="center"/>
      <protection/>
    </xf>
    <xf numFmtId="0" fontId="7" fillId="34" borderId="10" xfId="57" applyFont="1" applyFill="1" applyBorder="1" applyAlignment="1">
      <alignment horizontal="centerContinuous" vertical="center"/>
      <protection/>
    </xf>
    <xf numFmtId="0" fontId="7" fillId="34" borderId="12" xfId="57" applyFont="1" applyFill="1" applyBorder="1" applyAlignment="1">
      <alignment horizontal="centerContinuous" vertical="center"/>
      <protection/>
    </xf>
    <xf numFmtId="0" fontId="4" fillId="33" borderId="14" xfId="57" applyFill="1" applyBorder="1" applyAlignment="1">
      <alignment vertical="center"/>
      <protection/>
    </xf>
    <xf numFmtId="0" fontId="8" fillId="34" borderId="15" xfId="57" applyFont="1" applyFill="1" applyBorder="1" applyAlignment="1">
      <alignment horizontal="centerContinuous" vertical="center"/>
      <protection/>
    </xf>
    <xf numFmtId="0" fontId="6" fillId="34" borderId="16" xfId="57" applyFont="1" applyFill="1" applyBorder="1" applyAlignment="1">
      <alignment horizontal="centerContinuous" vertical="center"/>
      <protection/>
    </xf>
    <xf numFmtId="0" fontId="5" fillId="33" borderId="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9" fillId="34" borderId="17" xfId="57" applyFont="1" applyFill="1" applyBorder="1" applyAlignment="1">
      <alignment horizontal="right" vertical="center"/>
      <protection/>
    </xf>
    <xf numFmtId="169" fontId="6" fillId="35" borderId="18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Alignment="1">
      <alignment vertical="center"/>
      <protection/>
    </xf>
    <xf numFmtId="0" fontId="9" fillId="34" borderId="19" xfId="57" applyFont="1" applyFill="1" applyBorder="1" applyAlignment="1">
      <alignment horizontal="right" vertical="center"/>
      <protection/>
    </xf>
    <xf numFmtId="169" fontId="6" fillId="35" borderId="20" xfId="57" applyNumberFormat="1" applyFont="1" applyFill="1" applyBorder="1" applyAlignment="1" applyProtection="1">
      <alignment horizontal="center" vertical="center"/>
      <protection locked="0"/>
    </xf>
    <xf numFmtId="172" fontId="6" fillId="35" borderId="20" xfId="57" applyNumberFormat="1" applyFont="1" applyFill="1" applyBorder="1" applyAlignment="1" applyProtection="1">
      <alignment horizontal="center" vertical="center"/>
      <protection locked="0"/>
    </xf>
    <xf numFmtId="0" fontId="9" fillId="34" borderId="21" xfId="57" applyFont="1" applyFill="1" applyBorder="1" applyAlignment="1">
      <alignment horizontal="right" vertical="center"/>
      <protection/>
    </xf>
    <xf numFmtId="173" fontId="6" fillId="35" borderId="22" xfId="57" applyNumberFormat="1" applyFont="1" applyFill="1" applyBorder="1" applyAlignment="1" applyProtection="1">
      <alignment horizontal="center" vertical="center"/>
      <protection locked="0"/>
    </xf>
    <xf numFmtId="0" fontId="10" fillId="0" borderId="23" xfId="57" applyFont="1" applyBorder="1" applyAlignment="1">
      <alignment vertical="center"/>
      <protection/>
    </xf>
    <xf numFmtId="0" fontId="9" fillId="33" borderId="0" xfId="57" applyFont="1" applyFill="1" applyBorder="1" applyAlignment="1">
      <alignment horizontal="center" vertical="center"/>
      <protection/>
    </xf>
    <xf numFmtId="0" fontId="9" fillId="34" borderId="24" xfId="57" applyFont="1" applyFill="1" applyBorder="1" applyAlignment="1">
      <alignment horizontal="right" vertical="center"/>
      <protection/>
    </xf>
    <xf numFmtId="164" fontId="5" fillId="36" borderId="25" xfId="57" applyNumberFormat="1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horizontal="right" vertical="center"/>
      <protection/>
    </xf>
    <xf numFmtId="0" fontId="7" fillId="34" borderId="24" xfId="57" applyFont="1" applyFill="1" applyBorder="1" applyAlignment="1">
      <alignment horizontal="right" vertical="center"/>
      <protection/>
    </xf>
    <xf numFmtId="0" fontId="11" fillId="36" borderId="25" xfId="57" applyFont="1" applyFill="1" applyBorder="1" applyAlignment="1">
      <alignment horizontal="center" vertical="center"/>
      <protection/>
    </xf>
    <xf numFmtId="0" fontId="4" fillId="33" borderId="15" xfId="57" applyFill="1" applyBorder="1" applyAlignment="1">
      <alignment vertical="center"/>
      <protection/>
    </xf>
    <xf numFmtId="0" fontId="4" fillId="33" borderId="26" xfId="57" applyFill="1" applyBorder="1" applyAlignment="1">
      <alignment vertical="center"/>
      <protection/>
    </xf>
    <xf numFmtId="0" fontId="4" fillId="33" borderId="16" xfId="57" applyFill="1" applyBorder="1" applyAlignment="1">
      <alignment vertical="center"/>
      <protection/>
    </xf>
    <xf numFmtId="0" fontId="13" fillId="0" borderId="0" xfId="57" applyFont="1" applyAlignment="1">
      <alignment horizontal="centerContinuous" vertical="center"/>
      <protection/>
    </xf>
    <xf numFmtId="0" fontId="14" fillId="0" borderId="0" xfId="57" applyFont="1" applyAlignment="1">
      <alignment horizontal="centerContinuous" vertical="center"/>
      <protection/>
    </xf>
    <xf numFmtId="0" fontId="13" fillId="0" borderId="0" xfId="57" applyFont="1" applyAlignment="1">
      <alignment horizontal="center" vertical="center"/>
      <protection/>
    </xf>
    <xf numFmtId="0" fontId="15" fillId="0" borderId="0" xfId="56" applyFont="1" applyAlignment="1">
      <alignment vertical="center"/>
      <protection/>
    </xf>
    <xf numFmtId="0" fontId="16" fillId="0" borderId="0" xfId="56" applyFont="1" applyAlignment="1">
      <alignment horizontal="right" vertical="center"/>
      <protection/>
    </xf>
    <xf numFmtId="0" fontId="16" fillId="0" borderId="0" xfId="56" applyFont="1" applyAlignment="1">
      <alignment vertical="center"/>
      <protection/>
    </xf>
    <xf numFmtId="0" fontId="15" fillId="33" borderId="10" xfId="56" applyFont="1" applyFill="1" applyBorder="1" applyAlignment="1">
      <alignment vertical="center"/>
      <protection/>
    </xf>
    <xf numFmtId="0" fontId="16" fillId="33" borderId="11" xfId="56" applyFont="1" applyFill="1" applyBorder="1" applyAlignment="1">
      <alignment horizontal="right" vertical="center"/>
      <protection/>
    </xf>
    <xf numFmtId="0" fontId="16" fillId="33" borderId="11" xfId="56" applyFont="1" applyFill="1" applyBorder="1" applyAlignment="1">
      <alignment vertical="center"/>
      <protection/>
    </xf>
    <xf numFmtId="0" fontId="15" fillId="33" borderId="12" xfId="56" applyFont="1" applyFill="1" applyBorder="1" applyAlignment="1">
      <alignment vertical="center"/>
      <protection/>
    </xf>
    <xf numFmtId="0" fontId="15" fillId="33" borderId="13" xfId="56" applyFont="1" applyFill="1" applyBorder="1" applyAlignment="1">
      <alignment vertical="center"/>
      <protection/>
    </xf>
    <xf numFmtId="0" fontId="16" fillId="33" borderId="0" xfId="56" applyFont="1" applyFill="1" applyBorder="1" applyAlignment="1">
      <alignment horizontal="right" vertical="center"/>
      <protection/>
    </xf>
    <xf numFmtId="0" fontId="16" fillId="33" borderId="0" xfId="56" applyFont="1" applyFill="1" applyBorder="1" applyAlignment="1">
      <alignment vertical="center"/>
      <protection/>
    </xf>
    <xf numFmtId="0" fontId="7" fillId="34" borderId="10" xfId="56" applyFont="1" applyFill="1" applyBorder="1" applyAlignment="1">
      <alignment horizontal="centerContinuous" vertical="center"/>
      <protection/>
    </xf>
    <xf numFmtId="0" fontId="17" fillId="34" borderId="12" xfId="56" applyFont="1" applyFill="1" applyBorder="1" applyAlignment="1">
      <alignment horizontal="centerContinuous" vertical="center"/>
      <protection/>
    </xf>
    <xf numFmtId="0" fontId="15" fillId="33" borderId="14" xfId="56" applyFont="1" applyFill="1" applyBorder="1" applyAlignment="1">
      <alignment vertical="center"/>
      <protection/>
    </xf>
    <xf numFmtId="0" fontId="8" fillId="34" borderId="15" xfId="56" applyFont="1" applyFill="1" applyBorder="1" applyAlignment="1">
      <alignment horizontal="centerContinuous" vertical="center"/>
      <protection/>
    </xf>
    <xf numFmtId="0" fontId="16" fillId="34" borderId="16" xfId="56" applyFont="1" applyFill="1" applyBorder="1" applyAlignment="1">
      <alignment horizontal="centerContinuous" vertical="center"/>
      <protection/>
    </xf>
    <xf numFmtId="0" fontId="13" fillId="33" borderId="0" xfId="56" applyFont="1" applyFill="1" applyBorder="1" applyAlignment="1">
      <alignment vertical="center"/>
      <protection/>
    </xf>
    <xf numFmtId="0" fontId="7" fillId="33" borderId="13" xfId="56" applyFont="1" applyFill="1" applyBorder="1" applyAlignment="1">
      <alignment vertical="center"/>
      <protection/>
    </xf>
    <xf numFmtId="0" fontId="11" fillId="34" borderId="27" xfId="56" applyFont="1" applyFill="1" applyBorder="1" applyAlignment="1">
      <alignment horizontal="centerContinuous" vertical="center"/>
      <protection/>
    </xf>
    <xf numFmtId="0" fontId="11" fillId="34" borderId="28" xfId="56" applyFont="1" applyFill="1" applyBorder="1" applyAlignment="1">
      <alignment horizontal="centerContinuous" vertical="center"/>
      <protection/>
    </xf>
    <xf numFmtId="0" fontId="7" fillId="33" borderId="0" xfId="56" applyFont="1" applyFill="1" applyBorder="1" applyAlignment="1">
      <alignment vertical="center"/>
      <protection/>
    </xf>
    <xf numFmtId="0" fontId="7" fillId="34" borderId="28" xfId="56" applyFont="1" applyFill="1" applyBorder="1" applyAlignment="1">
      <alignment horizontal="centerContinuous" vertical="center"/>
      <protection/>
    </xf>
    <xf numFmtId="0" fontId="7" fillId="33" borderId="14" xfId="56" applyFont="1" applyFill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18" fillId="33" borderId="13" xfId="56" applyFont="1" applyFill="1" applyBorder="1" applyAlignment="1">
      <alignment vertical="center"/>
      <protection/>
    </xf>
    <xf numFmtId="0" fontId="7" fillId="34" borderId="17" xfId="56" applyFont="1" applyFill="1" applyBorder="1" applyAlignment="1">
      <alignment horizontal="right" vertical="center"/>
      <protection/>
    </xf>
    <xf numFmtId="166" fontId="19" fillId="35" borderId="18" xfId="56" applyNumberFormat="1" applyFont="1" applyFill="1" applyBorder="1" applyAlignment="1" applyProtection="1">
      <alignment horizontal="center" vertical="center"/>
      <protection locked="0"/>
    </xf>
    <xf numFmtId="0" fontId="18" fillId="33" borderId="0" xfId="56" applyFont="1" applyFill="1" applyBorder="1" applyAlignment="1">
      <alignment vertical="center"/>
      <protection/>
    </xf>
    <xf numFmtId="0" fontId="19" fillId="35" borderId="18" xfId="56" applyFont="1" applyFill="1" applyBorder="1" applyAlignment="1" applyProtection="1">
      <alignment horizontal="center" vertical="center"/>
      <protection locked="0"/>
    </xf>
    <xf numFmtId="0" fontId="18" fillId="33" borderId="14" xfId="56" applyFont="1" applyFill="1" applyBorder="1" applyAlignment="1">
      <alignment vertical="center"/>
      <protection/>
    </xf>
    <xf numFmtId="0" fontId="18" fillId="0" borderId="0" xfId="56" applyFont="1" applyAlignment="1">
      <alignment vertical="center"/>
      <protection/>
    </xf>
    <xf numFmtId="0" fontId="7" fillId="34" borderId="19" xfId="56" applyFont="1" applyFill="1" applyBorder="1" applyAlignment="1">
      <alignment horizontal="right" vertical="center"/>
      <protection/>
    </xf>
    <xf numFmtId="166" fontId="19" fillId="35" borderId="20" xfId="56" applyNumberFormat="1" applyFont="1" applyFill="1" applyBorder="1" applyAlignment="1" applyProtection="1">
      <alignment horizontal="center" vertical="center"/>
      <protection locked="0"/>
    </xf>
    <xf numFmtId="0" fontId="19" fillId="35" borderId="20" xfId="56" applyFont="1" applyFill="1" applyBorder="1" applyAlignment="1" applyProtection="1">
      <alignment horizontal="center" vertical="center"/>
      <protection locked="0"/>
    </xf>
    <xf numFmtId="169" fontId="19" fillId="35" borderId="20" xfId="56" applyNumberFormat="1" applyFont="1" applyFill="1" applyBorder="1" applyAlignment="1" applyProtection="1">
      <alignment horizontal="center" vertical="center"/>
      <protection locked="0"/>
    </xf>
    <xf numFmtId="164" fontId="19" fillId="35" borderId="20" xfId="56" applyNumberFormat="1" applyFont="1" applyFill="1" applyBorder="1" applyAlignment="1" applyProtection="1">
      <alignment horizontal="center" vertical="center"/>
      <protection locked="0"/>
    </xf>
    <xf numFmtId="0" fontId="7" fillId="34" borderId="21" xfId="56" applyFont="1" applyFill="1" applyBorder="1" applyAlignment="1">
      <alignment horizontal="right" vertical="center"/>
      <protection/>
    </xf>
    <xf numFmtId="170" fontId="19" fillId="35" borderId="22" xfId="56" applyNumberFormat="1" applyFont="1" applyFill="1" applyBorder="1" applyAlignment="1" applyProtection="1">
      <alignment horizontal="center" vertical="center"/>
      <protection locked="0"/>
    </xf>
    <xf numFmtId="0" fontId="11" fillId="34" borderId="25" xfId="56" applyFont="1" applyFill="1" applyBorder="1" applyAlignment="1">
      <alignment horizontal="right" vertical="center"/>
      <protection/>
    </xf>
    <xf numFmtId="167" fontId="11" fillId="36" borderId="25" xfId="56" applyNumberFormat="1" applyFont="1" applyFill="1" applyBorder="1" applyAlignment="1">
      <alignment horizontal="center" vertical="center"/>
      <protection/>
    </xf>
    <xf numFmtId="170" fontId="19" fillId="35" borderId="20" xfId="56" applyNumberFormat="1" applyFont="1" applyFill="1" applyBorder="1" applyAlignment="1" applyProtection="1">
      <alignment horizontal="center" vertical="center"/>
      <protection locked="0"/>
    </xf>
    <xf numFmtId="0" fontId="11" fillId="33" borderId="0" xfId="56" applyFont="1" applyFill="1" applyBorder="1" applyAlignment="1">
      <alignment horizontal="centerContinuous" vertical="center"/>
      <protection/>
    </xf>
    <xf numFmtId="0" fontId="21" fillId="33" borderId="0" xfId="56" applyFont="1" applyFill="1" applyBorder="1" applyAlignment="1">
      <alignment horizontal="centerContinuous" vertical="center"/>
      <protection/>
    </xf>
    <xf numFmtId="164" fontId="11" fillId="36" borderId="27" xfId="56" applyNumberFormat="1" applyFont="1" applyFill="1" applyBorder="1" applyAlignment="1">
      <alignment horizontal="center" vertical="center"/>
      <protection/>
    </xf>
    <xf numFmtId="0" fontId="11" fillId="36" borderId="28" xfId="56" applyFont="1" applyFill="1" applyBorder="1" applyAlignment="1">
      <alignment horizontal="center" vertical="center"/>
      <protection/>
    </xf>
    <xf numFmtId="0" fontId="19" fillId="35" borderId="22" xfId="56" applyFont="1" applyFill="1" applyBorder="1" applyAlignment="1" applyProtection="1">
      <alignment horizontal="center" vertical="center"/>
      <protection locked="0"/>
    </xf>
    <xf numFmtId="0" fontId="22" fillId="37" borderId="25" xfId="56" applyFont="1" applyFill="1" applyBorder="1" applyAlignment="1">
      <alignment vertical="center"/>
      <protection/>
    </xf>
    <xf numFmtId="0" fontId="21" fillId="33" borderId="0" xfId="56" applyFont="1" applyFill="1" applyBorder="1" applyAlignment="1">
      <alignment vertical="center"/>
      <protection/>
    </xf>
    <xf numFmtId="0" fontId="11" fillId="36" borderId="27" xfId="56" applyFont="1" applyFill="1" applyBorder="1" applyAlignment="1">
      <alignment horizontal="center" vertical="center"/>
      <protection/>
    </xf>
    <xf numFmtId="0" fontId="22" fillId="37" borderId="27" xfId="56" applyFont="1" applyFill="1" applyBorder="1" applyAlignment="1">
      <alignment horizontal="centerContinuous" vertical="center"/>
      <protection/>
    </xf>
    <xf numFmtId="0" fontId="22" fillId="37" borderId="28" xfId="56" applyFont="1" applyFill="1" applyBorder="1" applyAlignment="1">
      <alignment horizontal="centerContinuous" vertical="center"/>
      <protection/>
    </xf>
    <xf numFmtId="0" fontId="18" fillId="33" borderId="0" xfId="56" applyFont="1" applyFill="1" applyBorder="1" applyAlignment="1">
      <alignment horizontal="right" vertical="center"/>
      <protection/>
    </xf>
    <xf numFmtId="0" fontId="4" fillId="33" borderId="0" xfId="56" applyFill="1" applyAlignment="1">
      <alignment vertical="center"/>
      <protection/>
    </xf>
    <xf numFmtId="0" fontId="5" fillId="34" borderId="25" xfId="56" applyFont="1" applyFill="1" applyBorder="1" applyAlignment="1">
      <alignment horizontal="right" vertical="center"/>
      <protection/>
    </xf>
    <xf numFmtId="164" fontId="11" fillId="36" borderId="25" xfId="56" applyNumberFormat="1" applyFont="1" applyFill="1" applyBorder="1" applyAlignment="1">
      <alignment horizontal="center" vertical="center"/>
      <protection/>
    </xf>
    <xf numFmtId="0" fontId="18" fillId="0" borderId="0" xfId="56" applyFont="1" applyAlignment="1">
      <alignment horizontal="centerContinuous" vertical="center"/>
      <protection/>
    </xf>
    <xf numFmtId="0" fontId="18" fillId="0" borderId="23" xfId="56" applyFont="1" applyBorder="1" applyAlignment="1">
      <alignment horizontal="centerContinuous" vertical="center"/>
      <protection/>
    </xf>
    <xf numFmtId="0" fontId="21" fillId="0" borderId="23" xfId="56" applyFont="1" applyBorder="1" applyAlignment="1">
      <alignment horizontal="centerContinuous" vertical="center"/>
      <protection/>
    </xf>
    <xf numFmtId="165" fontId="11" fillId="36" borderId="25" xfId="56" applyNumberFormat="1" applyFont="1" applyFill="1" applyBorder="1" applyAlignment="1">
      <alignment horizontal="center" vertical="center"/>
      <protection/>
    </xf>
    <xf numFmtId="0" fontId="11" fillId="0" borderId="23" xfId="56" applyFont="1" applyBorder="1" applyAlignment="1">
      <alignment horizontal="center" vertical="center"/>
      <protection/>
    </xf>
    <xf numFmtId="0" fontId="18" fillId="0" borderId="0" xfId="56" applyFont="1" applyBorder="1" applyAlignment="1">
      <alignment vertical="center"/>
      <protection/>
    </xf>
    <xf numFmtId="0" fontId="11" fillId="33" borderId="0" xfId="56" applyFont="1" applyFill="1" applyBorder="1" applyAlignment="1">
      <alignment horizontal="right" vertical="center"/>
      <protection/>
    </xf>
    <xf numFmtId="0" fontId="11" fillId="33" borderId="0" xfId="56" applyFont="1" applyFill="1" applyBorder="1" applyAlignment="1">
      <alignment vertical="center"/>
      <protection/>
    </xf>
    <xf numFmtId="0" fontId="18" fillId="33" borderId="0" xfId="56" applyFont="1" applyFill="1" applyBorder="1" applyAlignment="1">
      <alignment horizontal="center" vertical="center"/>
      <protection/>
    </xf>
    <xf numFmtId="2" fontId="11" fillId="36" borderId="25" xfId="56" applyNumberFormat="1" applyFont="1" applyFill="1" applyBorder="1" applyAlignment="1">
      <alignment horizontal="center" vertical="center"/>
      <protection/>
    </xf>
    <xf numFmtId="0" fontId="18" fillId="0" borderId="23" xfId="56" applyFont="1" applyBorder="1" applyAlignment="1">
      <alignment horizontal="center" vertical="center"/>
      <protection/>
    </xf>
    <xf numFmtId="0" fontId="18" fillId="0" borderId="23" xfId="56" applyFont="1" applyBorder="1" applyAlignment="1">
      <alignment vertical="center"/>
      <protection/>
    </xf>
    <xf numFmtId="0" fontId="18" fillId="33" borderId="0" xfId="56" applyFont="1" applyFill="1" applyBorder="1" applyAlignment="1">
      <alignment horizontal="centerContinuous" vertical="center"/>
      <protection/>
    </xf>
    <xf numFmtId="0" fontId="11" fillId="0" borderId="27" xfId="56" applyFont="1" applyFill="1" applyBorder="1" applyAlignment="1">
      <alignment horizontal="centerContinuous" vertical="center"/>
      <protection/>
    </xf>
    <xf numFmtId="0" fontId="18" fillId="0" borderId="28" xfId="56" applyFont="1" applyBorder="1" applyAlignment="1">
      <alignment horizontal="centerContinuous" vertical="center"/>
      <protection/>
    </xf>
    <xf numFmtId="0" fontId="15" fillId="33" borderId="15" xfId="56" applyFont="1" applyFill="1" applyBorder="1" applyAlignment="1">
      <alignment vertical="center"/>
      <protection/>
    </xf>
    <xf numFmtId="0" fontId="16" fillId="33" borderId="26" xfId="56" applyFont="1" applyFill="1" applyBorder="1" applyAlignment="1">
      <alignment horizontal="right" vertical="center"/>
      <protection/>
    </xf>
    <xf numFmtId="0" fontId="16" fillId="33" borderId="26" xfId="56" applyFont="1" applyFill="1" applyBorder="1" applyAlignment="1">
      <alignment vertical="center"/>
      <protection/>
    </xf>
    <xf numFmtId="0" fontId="15" fillId="33" borderId="16" xfId="56" applyFont="1" applyFill="1" applyBorder="1" applyAlignment="1">
      <alignment vertical="center"/>
      <protection/>
    </xf>
    <xf numFmtId="0" fontId="15" fillId="0" borderId="23" xfId="56" applyFont="1" applyBorder="1" applyAlignment="1">
      <alignment horizontal="center" vertical="center"/>
      <protection/>
    </xf>
    <xf numFmtId="0" fontId="15" fillId="0" borderId="23" xfId="56" applyFont="1" applyBorder="1" applyAlignment="1">
      <alignment vertical="center"/>
      <protection/>
    </xf>
    <xf numFmtId="0" fontId="15" fillId="0" borderId="23" xfId="56" applyFont="1" applyFill="1" applyBorder="1" applyAlignment="1">
      <alignment horizontal="center" vertical="center"/>
      <protection/>
    </xf>
    <xf numFmtId="0" fontId="15" fillId="36" borderId="23" xfId="56" applyFont="1" applyFill="1" applyBorder="1" applyAlignment="1">
      <alignment horizontal="right" vertical="center"/>
      <protection/>
    </xf>
    <xf numFmtId="0" fontId="15" fillId="36" borderId="23" xfId="56" applyFont="1" applyFill="1" applyBorder="1" applyAlignment="1">
      <alignment horizontal="left" vertical="center"/>
      <protection/>
    </xf>
    <xf numFmtId="0" fontId="15" fillId="36" borderId="23" xfId="56" applyFont="1" applyFill="1" applyBorder="1" applyAlignment="1">
      <alignment vertical="center"/>
      <protection/>
    </xf>
    <xf numFmtId="0" fontId="15" fillId="0" borderId="0" xfId="56" applyFont="1" applyBorder="1" applyAlignment="1">
      <alignment horizontal="right" vertical="center"/>
      <protection/>
    </xf>
    <xf numFmtId="0" fontId="15" fillId="36" borderId="25" xfId="56" applyFont="1" applyFill="1" applyBorder="1" applyAlignment="1">
      <alignment horizontal="center" vertical="center"/>
      <protection/>
    </xf>
    <xf numFmtId="0" fontId="15" fillId="0" borderId="0" xfId="56" applyFont="1" applyFill="1" applyBorder="1" applyAlignment="1">
      <alignment vertical="center"/>
      <protection/>
    </xf>
    <xf numFmtId="0" fontId="15" fillId="0" borderId="0" xfId="56" applyFont="1" applyAlignment="1">
      <alignment horizontal="right" vertical="center"/>
      <protection/>
    </xf>
    <xf numFmtId="0" fontId="4" fillId="0" borderId="0" xfId="56" applyAlignment="1">
      <alignment vertical="center"/>
      <protection/>
    </xf>
    <xf numFmtId="0" fontId="15" fillId="36" borderId="24" xfId="56" applyFont="1" applyFill="1" applyBorder="1" applyAlignment="1">
      <alignment vertical="center"/>
      <protection/>
    </xf>
    <xf numFmtId="0" fontId="5" fillId="36" borderId="28" xfId="56" applyFont="1" applyFill="1" applyBorder="1" applyAlignment="1">
      <alignment horizontal="left" vertical="center"/>
      <protection/>
    </xf>
    <xf numFmtId="0" fontId="15" fillId="0" borderId="0" xfId="56" applyFont="1" applyBorder="1" applyAlignment="1">
      <alignment vertical="center"/>
      <protection/>
    </xf>
    <xf numFmtId="0" fontId="15" fillId="0" borderId="27" xfId="56" applyFont="1" applyBorder="1" applyAlignment="1">
      <alignment horizontal="right" vertical="center"/>
      <protection/>
    </xf>
    <xf numFmtId="0" fontId="5" fillId="36" borderId="25" xfId="56" applyFont="1" applyFill="1" applyBorder="1" applyAlignment="1">
      <alignment horizontal="center" vertical="center"/>
      <protection/>
    </xf>
    <xf numFmtId="0" fontId="15" fillId="0" borderId="25" xfId="56" applyFont="1" applyBorder="1" applyAlignment="1">
      <alignment horizontal="right" vertical="center"/>
      <protection/>
    </xf>
    <xf numFmtId="0" fontId="5" fillId="36" borderId="25" xfId="56" applyFont="1" applyFill="1" applyBorder="1" applyAlignment="1">
      <alignment horizontal="left" vertical="center"/>
      <protection/>
    </xf>
    <xf numFmtId="0" fontId="15" fillId="0" borderId="10" xfId="56" applyFont="1" applyBorder="1" applyAlignment="1">
      <alignment vertical="center"/>
      <protection/>
    </xf>
    <xf numFmtId="0" fontId="15" fillId="0" borderId="11" xfId="56" applyFont="1" applyBorder="1" applyAlignment="1">
      <alignment vertical="center"/>
      <protection/>
    </xf>
    <xf numFmtId="0" fontId="15" fillId="0" borderId="12" xfId="56" applyFont="1" applyBorder="1" applyAlignment="1">
      <alignment vertical="center"/>
      <protection/>
    </xf>
    <xf numFmtId="0" fontId="15" fillId="0" borderId="19" xfId="56" applyFont="1" applyBorder="1" applyAlignment="1">
      <alignment vertical="center"/>
      <protection/>
    </xf>
    <xf numFmtId="0" fontId="15" fillId="0" borderId="14" xfId="56" applyFont="1" applyBorder="1" applyAlignment="1">
      <alignment vertical="center"/>
      <protection/>
    </xf>
    <xf numFmtId="0" fontId="15" fillId="0" borderId="17" xfId="56" applyFont="1" applyBorder="1" applyAlignment="1">
      <alignment vertical="center"/>
      <protection/>
    </xf>
    <xf numFmtId="2" fontId="5" fillId="36" borderId="23" xfId="56" applyNumberFormat="1" applyFont="1" applyFill="1" applyBorder="1" applyAlignment="1">
      <alignment vertical="center"/>
      <protection/>
    </xf>
    <xf numFmtId="0" fontId="15" fillId="0" borderId="23" xfId="56" applyFont="1" applyBorder="1" applyAlignment="1">
      <alignment horizontal="right" vertical="center"/>
      <protection/>
    </xf>
    <xf numFmtId="0" fontId="15" fillId="0" borderId="23" xfId="56" applyFont="1" applyBorder="1" applyAlignment="1">
      <alignment horizontal="left" vertical="center"/>
      <protection/>
    </xf>
    <xf numFmtId="0" fontId="15" fillId="0" borderId="13" xfId="56" applyFont="1" applyBorder="1" applyAlignment="1">
      <alignment vertical="center"/>
      <protection/>
    </xf>
    <xf numFmtId="0" fontId="15" fillId="36" borderId="29" xfId="56" applyFont="1" applyFill="1" applyBorder="1" applyAlignment="1">
      <alignment vertical="center"/>
      <protection/>
    </xf>
    <xf numFmtId="0" fontId="15" fillId="36" borderId="24" xfId="56" applyFont="1" applyFill="1" applyBorder="1" applyAlignment="1">
      <alignment horizontal="center" vertical="center"/>
      <protection/>
    </xf>
    <xf numFmtId="0" fontId="15" fillId="36" borderId="29" xfId="56" applyFont="1" applyFill="1" applyBorder="1" applyAlignment="1">
      <alignment horizontal="center" vertical="center"/>
      <protection/>
    </xf>
    <xf numFmtId="0" fontId="5" fillId="36" borderId="17" xfId="56" applyFont="1" applyFill="1" applyBorder="1" applyAlignment="1">
      <alignment vertical="center"/>
      <protection/>
    </xf>
    <xf numFmtId="0" fontId="15" fillId="0" borderId="30" xfId="56" applyFont="1" applyFill="1" applyBorder="1" applyAlignment="1">
      <alignment vertical="center"/>
      <protection/>
    </xf>
    <xf numFmtId="0" fontId="15" fillId="0" borderId="18" xfId="56" applyFont="1" applyFill="1" applyBorder="1" applyAlignment="1">
      <alignment vertical="center"/>
      <protection/>
    </xf>
    <xf numFmtId="0" fontId="5" fillId="36" borderId="19" xfId="56" applyFont="1" applyFill="1" applyBorder="1" applyAlignment="1">
      <alignment vertical="center"/>
      <protection/>
    </xf>
    <xf numFmtId="0" fontId="15" fillId="0" borderId="20" xfId="56" applyFont="1" applyBorder="1" applyAlignment="1">
      <alignment vertical="center"/>
      <protection/>
    </xf>
    <xf numFmtId="0" fontId="5" fillId="36" borderId="25" xfId="56" applyFont="1" applyFill="1" applyBorder="1" applyAlignment="1">
      <alignment vertical="center"/>
      <protection/>
    </xf>
    <xf numFmtId="0" fontId="15" fillId="0" borderId="31" xfId="56" applyFont="1" applyBorder="1" applyAlignment="1">
      <alignment vertical="center"/>
      <protection/>
    </xf>
    <xf numFmtId="0" fontId="15" fillId="0" borderId="22" xfId="56" applyFont="1" applyBorder="1" applyAlignment="1">
      <alignment vertical="center"/>
      <protection/>
    </xf>
    <xf numFmtId="0" fontId="15" fillId="36" borderId="19" xfId="56" applyFont="1" applyFill="1" applyBorder="1" applyAlignment="1">
      <alignment horizontal="right" vertical="center"/>
      <protection/>
    </xf>
    <xf numFmtId="0" fontId="15" fillId="36" borderId="20" xfId="56" applyFont="1" applyFill="1" applyBorder="1" applyAlignment="1">
      <alignment horizontal="left" vertical="center"/>
      <protection/>
    </xf>
    <xf numFmtId="0" fontId="15" fillId="0" borderId="30" xfId="56" applyFont="1" applyBorder="1" applyAlignment="1">
      <alignment vertical="center"/>
      <protection/>
    </xf>
    <xf numFmtId="0" fontId="15" fillId="0" borderId="18" xfId="56" applyFont="1" applyBorder="1" applyAlignment="1">
      <alignment vertical="center"/>
      <protection/>
    </xf>
    <xf numFmtId="0" fontId="15" fillId="0" borderId="13" xfId="56" applyFont="1" applyFill="1" applyBorder="1" applyAlignment="1">
      <alignment vertical="center"/>
      <protection/>
    </xf>
    <xf numFmtId="0" fontId="15" fillId="0" borderId="14" xfId="56" applyFont="1" applyFill="1" applyBorder="1" applyAlignment="1">
      <alignment horizontal="left" vertical="center"/>
      <protection/>
    </xf>
    <xf numFmtId="0" fontId="5" fillId="36" borderId="0" xfId="56" applyFont="1" applyFill="1" applyBorder="1" applyAlignment="1">
      <alignment vertical="center"/>
      <protection/>
    </xf>
    <xf numFmtId="0" fontId="15" fillId="0" borderId="23" xfId="56" applyFont="1" applyFill="1" applyBorder="1" applyAlignment="1">
      <alignment vertical="center"/>
      <protection/>
    </xf>
    <xf numFmtId="0" fontId="15" fillId="0" borderId="20" xfId="56" applyFont="1" applyFill="1" applyBorder="1" applyAlignment="1">
      <alignment vertical="center"/>
      <protection/>
    </xf>
    <xf numFmtId="0" fontId="5" fillId="0" borderId="13" xfId="56" applyFont="1" applyFill="1" applyBorder="1" applyAlignment="1">
      <alignment vertical="center"/>
      <protection/>
    </xf>
    <xf numFmtId="0" fontId="15" fillId="0" borderId="14" xfId="56" applyFont="1" applyFill="1" applyBorder="1" applyAlignment="1">
      <alignment vertical="center"/>
      <protection/>
    </xf>
    <xf numFmtId="0" fontId="5" fillId="36" borderId="27" xfId="56" applyFont="1" applyFill="1" applyBorder="1" applyAlignment="1">
      <alignment vertical="center"/>
      <protection/>
    </xf>
    <xf numFmtId="0" fontId="15" fillId="0" borderId="28" xfId="56" applyFont="1" applyBorder="1" applyAlignment="1">
      <alignment vertical="center"/>
      <protection/>
    </xf>
    <xf numFmtId="0" fontId="15" fillId="0" borderId="15" xfId="56" applyFont="1" applyBorder="1" applyAlignment="1">
      <alignment vertical="center"/>
      <protection/>
    </xf>
    <xf numFmtId="0" fontId="15" fillId="0" borderId="26" xfId="56" applyFont="1" applyBorder="1" applyAlignment="1">
      <alignment vertical="center"/>
      <protection/>
    </xf>
    <xf numFmtId="0" fontId="15" fillId="0" borderId="16" xfId="56" applyFont="1" applyBorder="1" applyAlignment="1">
      <alignment vertical="center"/>
      <protection/>
    </xf>
    <xf numFmtId="0" fontId="5" fillId="36" borderId="16" xfId="56" applyFont="1" applyFill="1" applyBorder="1" applyAlignment="1">
      <alignment vertical="center"/>
      <protection/>
    </xf>
    <xf numFmtId="168" fontId="5" fillId="36" borderId="25" xfId="56" applyNumberFormat="1" applyFont="1" applyFill="1" applyBorder="1" applyAlignment="1">
      <alignment vertical="center"/>
      <protection/>
    </xf>
    <xf numFmtId="0" fontId="5" fillId="36" borderId="26" xfId="56" applyFont="1" applyFill="1" applyBorder="1" applyAlignment="1">
      <alignment vertical="center"/>
      <protection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horizontal="center" vertical="center"/>
      <protection/>
    </xf>
    <xf numFmtId="0" fontId="15" fillId="33" borderId="10" xfId="55" applyFont="1" applyFill="1" applyBorder="1" applyAlignment="1">
      <alignment vertical="center"/>
      <protection/>
    </xf>
    <xf numFmtId="0" fontId="15" fillId="33" borderId="11" xfId="55" applyFont="1" applyFill="1" applyBorder="1" applyAlignment="1">
      <alignment vertical="center"/>
      <protection/>
    </xf>
    <xf numFmtId="0" fontId="15" fillId="33" borderId="11" xfId="55" applyFont="1" applyFill="1" applyBorder="1" applyAlignment="1">
      <alignment horizontal="center" vertical="center"/>
      <protection/>
    </xf>
    <xf numFmtId="0" fontId="15" fillId="33" borderId="12" xfId="55" applyFont="1" applyFill="1" applyBorder="1" applyAlignment="1">
      <alignment vertical="center"/>
      <protection/>
    </xf>
    <xf numFmtId="0" fontId="15" fillId="33" borderId="13" xfId="55" applyFont="1" applyFill="1" applyBorder="1" applyAlignment="1">
      <alignment vertical="center"/>
      <protection/>
    </xf>
    <xf numFmtId="0" fontId="15" fillId="34" borderId="10" xfId="55" applyFont="1" applyFill="1" applyBorder="1" applyAlignment="1">
      <alignment horizontal="left" vertical="center"/>
      <protection/>
    </xf>
    <xf numFmtId="0" fontId="7" fillId="34" borderId="11" xfId="55" applyFont="1" applyFill="1" applyBorder="1" applyAlignment="1">
      <alignment horizontal="centerContinuous" vertical="center"/>
      <protection/>
    </xf>
    <xf numFmtId="0" fontId="4" fillId="34" borderId="11" xfId="55" applyFill="1" applyBorder="1" applyAlignment="1">
      <alignment horizontal="centerContinuous" vertical="center"/>
      <protection/>
    </xf>
    <xf numFmtId="0" fontId="9" fillId="34" borderId="12" xfId="55" applyFont="1" applyFill="1" applyBorder="1" applyAlignment="1">
      <alignment horizontal="left" vertical="center"/>
      <protection/>
    </xf>
    <xf numFmtId="0" fontId="15" fillId="33" borderId="14" xfId="55" applyFont="1" applyFill="1" applyBorder="1" applyAlignment="1">
      <alignment vertical="center"/>
      <protection/>
    </xf>
    <xf numFmtId="0" fontId="15" fillId="34" borderId="15" xfId="55" applyFont="1" applyFill="1" applyBorder="1" applyAlignment="1">
      <alignment horizontal="left" vertical="center"/>
      <protection/>
    </xf>
    <xf numFmtId="0" fontId="15" fillId="34" borderId="26" xfId="55" applyFont="1" applyFill="1" applyBorder="1" applyAlignment="1">
      <alignment horizontal="left" vertical="center"/>
      <protection/>
    </xf>
    <xf numFmtId="0" fontId="24" fillId="34" borderId="26" xfId="55" applyFont="1" applyFill="1" applyBorder="1" applyAlignment="1">
      <alignment horizontal="right" vertical="center"/>
      <protection/>
    </xf>
    <xf numFmtId="0" fontId="16" fillId="34" borderId="26" xfId="55" applyFont="1" applyFill="1" applyBorder="1" applyAlignment="1">
      <alignment horizontal="right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right" vertical="center"/>
      <protection/>
    </xf>
    <xf numFmtId="0" fontId="15" fillId="34" borderId="16" xfId="55" applyFont="1" applyFill="1" applyBorder="1" applyAlignment="1">
      <alignment horizontal="left"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horizontal="center" vertical="center"/>
      <protection/>
    </xf>
    <xf numFmtId="0" fontId="25" fillId="33" borderId="0" xfId="55" applyFont="1" applyFill="1" applyBorder="1" applyAlignment="1">
      <alignment horizontal="right" vertical="center"/>
      <protection/>
    </xf>
    <xf numFmtId="0" fontId="9" fillId="34" borderId="17" xfId="55" applyFont="1" applyFill="1" applyBorder="1" applyAlignment="1">
      <alignment horizontal="right" vertical="center"/>
      <protection/>
    </xf>
    <xf numFmtId="171" fontId="6" fillId="35" borderId="18" xfId="55" applyNumberFormat="1" applyFont="1" applyFill="1" applyBorder="1" applyAlignment="1" applyProtection="1">
      <alignment horizontal="center" vertical="center"/>
      <protection locked="0"/>
    </xf>
    <xf numFmtId="0" fontId="5" fillId="33" borderId="0" xfId="55" applyFont="1" applyFill="1" applyBorder="1" applyAlignment="1">
      <alignment vertical="center"/>
      <protection/>
    </xf>
    <xf numFmtId="0" fontId="26" fillId="34" borderId="10" xfId="55" applyFont="1" applyFill="1" applyBorder="1" applyAlignment="1">
      <alignment vertical="center"/>
      <protection/>
    </xf>
    <xf numFmtId="0" fontId="26" fillId="34" borderId="11" xfId="55" applyFont="1" applyFill="1" applyBorder="1" applyAlignment="1">
      <alignment horizontal="center" vertical="center"/>
      <protection/>
    </xf>
    <xf numFmtId="0" fontId="26" fillId="34" borderId="12" xfId="55" applyFont="1" applyFill="1" applyBorder="1" applyAlignment="1">
      <alignment horizontal="center" vertical="center"/>
      <protection/>
    </xf>
    <xf numFmtId="164" fontId="6" fillId="35" borderId="18" xfId="55" applyNumberFormat="1" applyFont="1" applyFill="1" applyBorder="1" applyAlignment="1" applyProtection="1">
      <alignment horizontal="center" vertical="center"/>
      <protection locked="0"/>
    </xf>
    <xf numFmtId="0" fontId="9" fillId="34" borderId="21" xfId="55" applyFont="1" applyFill="1" applyBorder="1" applyAlignment="1">
      <alignment horizontal="right" vertical="center"/>
      <protection/>
    </xf>
    <xf numFmtId="164" fontId="6" fillId="35" borderId="22" xfId="55" applyNumberFormat="1" applyFont="1" applyFill="1" applyBorder="1" applyAlignment="1" applyProtection="1">
      <alignment horizontal="center" vertical="center"/>
      <protection locked="0"/>
    </xf>
    <xf numFmtId="0" fontId="26" fillId="34" borderId="13" xfId="55" applyFont="1" applyFill="1" applyBorder="1" applyAlignment="1">
      <alignment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34" borderId="14" xfId="55" applyFont="1" applyFill="1" applyBorder="1" applyAlignment="1">
      <alignment horizontal="center" vertical="center"/>
      <protection/>
    </xf>
    <xf numFmtId="164" fontId="6" fillId="35" borderId="22" xfId="55" applyNumberFormat="1" applyFont="1" applyFill="1" applyBorder="1" applyAlignment="1" applyProtection="1">
      <alignment horizontal="center" vertical="center"/>
      <protection locked="0"/>
    </xf>
    <xf numFmtId="164" fontId="5" fillId="36" borderId="18" xfId="55" applyNumberFormat="1" applyFont="1" applyFill="1" applyBorder="1" applyAlignment="1">
      <alignment horizontal="center" vertical="center"/>
      <protection/>
    </xf>
    <xf numFmtId="164" fontId="5" fillId="36" borderId="18" xfId="55" applyNumberFormat="1" applyFont="1" applyFill="1" applyBorder="1" applyAlignment="1">
      <alignment horizontal="center" vertical="center"/>
      <protection/>
    </xf>
    <xf numFmtId="164" fontId="5" fillId="36" borderId="22" xfId="55" applyNumberFormat="1" applyFont="1" applyFill="1" applyBorder="1" applyAlignment="1">
      <alignment horizontal="center" vertical="center"/>
      <protection/>
    </xf>
    <xf numFmtId="0" fontId="5" fillId="34" borderId="13" xfId="55" applyFont="1" applyFill="1" applyBorder="1" applyAlignment="1">
      <alignment vertical="center"/>
      <protection/>
    </xf>
    <xf numFmtId="0" fontId="5" fillId="34" borderId="0" xfId="55" applyFont="1" applyFill="1" applyBorder="1" applyAlignment="1">
      <alignment horizontal="center" vertical="center"/>
      <protection/>
    </xf>
    <xf numFmtId="0" fontId="27" fillId="34" borderId="0" xfId="55" applyFont="1" applyFill="1" applyBorder="1">
      <alignment/>
      <protection/>
    </xf>
    <xf numFmtId="0" fontId="4" fillId="34" borderId="0" xfId="55" applyFill="1" applyBorder="1">
      <alignment/>
      <protection/>
    </xf>
    <xf numFmtId="171" fontId="5" fillId="36" borderId="22" xfId="55" applyNumberFormat="1" applyFont="1" applyFill="1" applyBorder="1" applyAlignment="1">
      <alignment horizontal="center" vertical="center"/>
      <protection/>
    </xf>
    <xf numFmtId="0" fontId="25" fillId="33" borderId="0" xfId="55" applyFont="1" applyFill="1" applyBorder="1" applyAlignment="1">
      <alignment vertical="center"/>
      <protection/>
    </xf>
    <xf numFmtId="0" fontId="5" fillId="34" borderId="0" xfId="55" applyFont="1" applyFill="1" applyBorder="1" applyAlignment="1">
      <alignment vertical="center"/>
      <protection/>
    </xf>
    <xf numFmtId="0" fontId="5" fillId="34" borderId="0" xfId="55" applyFont="1" applyFill="1" applyBorder="1" applyAlignment="1">
      <alignment horizontal="left" vertical="center"/>
      <protection/>
    </xf>
    <xf numFmtId="0" fontId="26" fillId="34" borderId="14" xfId="55" applyFont="1" applyFill="1" applyBorder="1" applyAlignment="1">
      <alignment horizontal="left" vertical="center"/>
      <protection/>
    </xf>
    <xf numFmtId="0" fontId="28" fillId="33" borderId="0" xfId="55" applyFont="1" applyFill="1" applyBorder="1" applyAlignment="1">
      <alignment horizontal="centerContinuous" vertical="center"/>
      <protection/>
    </xf>
    <xf numFmtId="164" fontId="15" fillId="33" borderId="0" xfId="55" applyNumberFormat="1" applyFont="1" applyFill="1" applyBorder="1" applyAlignment="1">
      <alignment horizontal="center" vertical="center"/>
      <protection/>
    </xf>
    <xf numFmtId="171" fontId="6" fillId="35" borderId="18" xfId="55" applyNumberFormat="1" applyFont="1" applyFill="1" applyBorder="1" applyAlignment="1" applyProtection="1">
      <alignment horizontal="center" vertical="center"/>
      <protection locked="0"/>
    </xf>
    <xf numFmtId="0" fontId="6" fillId="35" borderId="22" xfId="55" applyFont="1" applyFill="1" applyBorder="1" applyAlignment="1" applyProtection="1">
      <alignment horizontal="center" vertical="center"/>
      <protection locked="0"/>
    </xf>
    <xf numFmtId="0" fontId="29" fillId="33" borderId="0" xfId="55" applyFont="1" applyFill="1" applyBorder="1" applyAlignment="1">
      <alignment horizontal="right"/>
      <protection/>
    </xf>
    <xf numFmtId="0" fontId="26" fillId="34" borderId="13" xfId="55" applyFont="1" applyFill="1" applyBorder="1" applyAlignment="1">
      <alignment horizontal="right"/>
      <protection/>
    </xf>
    <xf numFmtId="164" fontId="5" fillId="36" borderId="22" xfId="55" applyNumberFormat="1" applyFont="1" applyFill="1" applyBorder="1" applyAlignment="1">
      <alignment horizontal="center" vertical="center"/>
      <protection/>
    </xf>
    <xf numFmtId="0" fontId="26" fillId="34" borderId="15" xfId="55" applyFont="1" applyFill="1" applyBorder="1" applyAlignment="1">
      <alignment vertical="center"/>
      <protection/>
    </xf>
    <xf numFmtId="0" fontId="26" fillId="34" borderId="26" xfId="55" applyFont="1" applyFill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0" fontId="26" fillId="34" borderId="16" xfId="55" applyFont="1" applyFill="1" applyBorder="1" applyAlignment="1">
      <alignment horizontal="center" vertical="center"/>
      <protection/>
    </xf>
    <xf numFmtId="174" fontId="5" fillId="36" borderId="22" xfId="55" applyNumberFormat="1" applyFont="1" applyFill="1" applyBorder="1" applyAlignment="1">
      <alignment horizontal="center" vertical="center"/>
      <protection/>
    </xf>
    <xf numFmtId="0" fontId="29" fillId="33" borderId="0" xfId="55" applyFont="1" applyFill="1" applyBorder="1" applyAlignment="1">
      <alignment horizontal="center" vertical="center"/>
      <protection/>
    </xf>
    <xf numFmtId="0" fontId="15" fillId="33" borderId="15" xfId="55" applyFont="1" applyFill="1" applyBorder="1" applyAlignment="1">
      <alignment vertical="center"/>
      <protection/>
    </xf>
    <xf numFmtId="0" fontId="15" fillId="33" borderId="26" xfId="55" applyFont="1" applyFill="1" applyBorder="1" applyAlignment="1">
      <alignment vertical="center"/>
      <protection/>
    </xf>
    <xf numFmtId="0" fontId="15" fillId="33" borderId="26" xfId="55" applyFont="1" applyFill="1" applyBorder="1" applyAlignment="1">
      <alignment horizontal="center" vertical="center"/>
      <protection/>
    </xf>
    <xf numFmtId="0" fontId="15" fillId="33" borderId="16" xfId="55" applyFont="1" applyFill="1" applyBorder="1" applyAlignment="1">
      <alignment vertical="center"/>
      <protection/>
    </xf>
    <xf numFmtId="0" fontId="31" fillId="0" borderId="0" xfId="55" applyFont="1" applyFill="1" applyBorder="1" applyAlignment="1">
      <alignment horizontal="centerContinuous" vertical="center"/>
      <protection/>
    </xf>
    <xf numFmtId="0" fontId="4" fillId="0" borderId="0" xfId="55" applyAlignment="1">
      <alignment horizontal="centerContinuous"/>
      <protection/>
    </xf>
    <xf numFmtId="0" fontId="15" fillId="0" borderId="0" xfId="55" applyFont="1" applyAlignment="1">
      <alignment horizontal="centerContinuous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GLE INCLINE" xfId="55"/>
    <cellStyle name="Normal_DEFLECTION" xfId="56"/>
    <cellStyle name="Normal_RPM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SGWIN\MHWIN\EXCEL_MH\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M "/>
    </sheetNames>
    <sheetDataSet>
      <sheetData sheetId="0">
        <row r="5">
          <cell r="D5" t="str">
            <v>VERSION 1.1 7/10/98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33"/>
  <sheetViews>
    <sheetView showGridLines="0" showOutlineSymbols="0" zoomScale="150" zoomScaleNormal="150" zoomScalePageLayoutView="0" workbookViewId="0" topLeftCell="A1">
      <selection activeCell="E11" sqref="E11"/>
    </sheetView>
  </sheetViews>
  <sheetFormatPr defaultColWidth="9.00390625" defaultRowHeight="15.75"/>
  <cols>
    <col min="1" max="1" width="5.625" style="1" customWidth="1"/>
    <col min="2" max="2" width="3.75390625" style="1" customWidth="1"/>
    <col min="3" max="3" width="5.25390625" style="1" customWidth="1"/>
    <col min="4" max="4" width="29.75390625" style="2" customWidth="1"/>
    <col min="5" max="5" width="14.50390625" style="3" customWidth="1"/>
    <col min="6" max="6" width="5.875" style="1" customWidth="1"/>
    <col min="7" max="8" width="18.125" style="1" customWidth="1"/>
    <col min="9" max="16384" width="9.00390625" style="1" customWidth="1"/>
  </cols>
  <sheetData>
    <row r="1" ht="8.25" customHeight="1"/>
    <row r="2" ht="9.75" customHeight="1" thickBot="1"/>
    <row r="3" spans="3:6" ht="13.5" thickBot="1">
      <c r="C3" s="4"/>
      <c r="D3" s="5"/>
      <c r="E3" s="6"/>
      <c r="F3" s="7"/>
    </row>
    <row r="4" spans="3:6" ht="14.25" customHeight="1">
      <c r="C4" s="8"/>
      <c r="D4" s="9" t="s">
        <v>0</v>
      </c>
      <c r="E4" s="10"/>
      <c r="F4" s="11"/>
    </row>
    <row r="5" spans="3:6" ht="12.75" customHeight="1" thickBot="1">
      <c r="C5" s="8"/>
      <c r="D5" s="12" t="s">
        <v>1</v>
      </c>
      <c r="E5" s="13"/>
      <c r="F5" s="11"/>
    </row>
    <row r="6" spans="3:6" ht="7.5" customHeight="1" thickBot="1">
      <c r="C6" s="8"/>
      <c r="D6" s="14"/>
      <c r="E6" s="15"/>
      <c r="F6" s="11"/>
    </row>
    <row r="7" spans="3:10" ht="12.75">
      <c r="C7" s="8"/>
      <c r="D7" s="16" t="s">
        <v>2</v>
      </c>
      <c r="E7" s="17">
        <v>14</v>
      </c>
      <c r="F7" s="11"/>
      <c r="I7" s="18">
        <f>DIA./2</f>
        <v>7</v>
      </c>
      <c r="J7" s="18" t="s">
        <v>3</v>
      </c>
    </row>
    <row r="8" spans="3:10" ht="12.75">
      <c r="C8" s="8"/>
      <c r="D8" s="19" t="s">
        <v>4</v>
      </c>
      <c r="E8" s="20">
        <v>7</v>
      </c>
      <c r="F8" s="11"/>
      <c r="I8" s="18">
        <f>PIPEOD/2</f>
        <v>2</v>
      </c>
      <c r="J8" s="18" t="s">
        <v>5</v>
      </c>
    </row>
    <row r="9" spans="3:10" ht="12.75">
      <c r="C9" s="8"/>
      <c r="D9" s="19" t="s">
        <v>6</v>
      </c>
      <c r="E9" s="20">
        <v>4</v>
      </c>
      <c r="F9" s="11"/>
      <c r="I9" s="18"/>
      <c r="J9" s="18"/>
    </row>
    <row r="10" spans="3:10" ht="12.75">
      <c r="C10" s="8"/>
      <c r="D10" s="19" t="s">
        <v>7</v>
      </c>
      <c r="E10" s="21">
        <v>100</v>
      </c>
      <c r="F10" s="11"/>
      <c r="I10" s="18"/>
      <c r="J10" s="18"/>
    </row>
    <row r="11" spans="3:10" ht="13.5" thickBot="1">
      <c r="C11" s="8"/>
      <c r="D11" s="22" t="s">
        <v>8</v>
      </c>
      <c r="E11" s="23">
        <v>6250</v>
      </c>
      <c r="F11" s="11"/>
      <c r="I11" s="24">
        <v>1.25</v>
      </c>
      <c r="J11" s="24">
        <v>1.66</v>
      </c>
    </row>
    <row r="12" spans="3:10" ht="13.5" thickBot="1">
      <c r="C12" s="8"/>
      <c r="D12" s="25"/>
      <c r="E12" s="15"/>
      <c r="F12" s="11"/>
      <c r="I12" s="24"/>
      <c r="J12" s="24"/>
    </row>
    <row r="13" spans="3:10" ht="13.5" thickBot="1">
      <c r="C13" s="8"/>
      <c r="D13" s="26" t="s">
        <v>9</v>
      </c>
      <c r="E13" s="27">
        <f>IF(E7=0," ",ROUNDUP(CFHRPM,3))</f>
        <v>34.361999999999995</v>
      </c>
      <c r="F13" s="11"/>
      <c r="I13" s="24"/>
      <c r="J13" s="24"/>
    </row>
    <row r="14" spans="3:10" ht="13.5" thickBot="1">
      <c r="C14" s="8"/>
      <c r="D14" s="28"/>
      <c r="E14" s="15"/>
      <c r="F14" s="11"/>
      <c r="I14" s="24">
        <v>2</v>
      </c>
      <c r="J14" s="24">
        <v>2.375</v>
      </c>
    </row>
    <row r="15" spans="3:10" ht="20.25" customHeight="1" thickBot="1">
      <c r="C15" s="8"/>
      <c r="D15" s="29" t="s">
        <v>10</v>
      </c>
      <c r="E15" s="30">
        <f>IF(E7=0," ",ROUNDUP(RPM,2))</f>
        <v>181.89999999999998</v>
      </c>
      <c r="F15" s="11"/>
      <c r="I15" s="24">
        <v>2.5</v>
      </c>
      <c r="J15" s="24">
        <v>2.875</v>
      </c>
    </row>
    <row r="16" spans="3:10" ht="9" customHeight="1">
      <c r="C16" s="8"/>
      <c r="D16" s="14"/>
      <c r="E16" s="15"/>
      <c r="F16" s="11"/>
      <c r="I16" s="24">
        <v>3</v>
      </c>
      <c r="J16" s="24">
        <v>3.5</v>
      </c>
    </row>
    <row r="17" spans="3:10" ht="9.75" customHeight="1" thickBot="1">
      <c r="C17" s="31"/>
      <c r="D17" s="32"/>
      <c r="E17" s="32"/>
      <c r="F17" s="33"/>
      <c r="I17" s="24">
        <v>3.5</v>
      </c>
      <c r="J17" s="24">
        <v>4</v>
      </c>
    </row>
    <row r="18" spans="4:10" ht="14.25" customHeight="1">
      <c r="D18" s="34" t="s">
        <v>11</v>
      </c>
      <c r="E18" s="35"/>
      <c r="I18" s="24">
        <v>4</v>
      </c>
      <c r="J18" s="24">
        <v>4.5</v>
      </c>
    </row>
    <row r="19" spans="4:10" ht="12.75">
      <c r="D19" s="1"/>
      <c r="E19" s="1"/>
      <c r="I19" s="24">
        <v>5</v>
      </c>
      <c r="J19" s="24">
        <v>5.5625</v>
      </c>
    </row>
    <row r="20" spans="4:10" ht="12.75">
      <c r="D20" s="1"/>
      <c r="I20" s="24">
        <v>6</v>
      </c>
      <c r="J20" s="24">
        <v>6.625</v>
      </c>
    </row>
    <row r="21" spans="4:10" ht="12.75">
      <c r="D21" s="1"/>
      <c r="I21" s="24">
        <v>8</v>
      </c>
      <c r="J21" s="24">
        <v>8.625</v>
      </c>
    </row>
    <row r="22" spans="9:10" ht="12.75">
      <c r="I22" s="24">
        <v>10</v>
      </c>
      <c r="J22" s="24">
        <v>10.75</v>
      </c>
    </row>
    <row r="23" spans="9:10" ht="12.75">
      <c r="I23" s="24">
        <v>12</v>
      </c>
      <c r="J23" s="24">
        <v>12.75</v>
      </c>
    </row>
    <row r="24" spans="9:10" ht="12.75">
      <c r="I24" s="18"/>
      <c r="J24" s="18"/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30" spans="3:4" ht="12.75">
      <c r="C30" s="18" t="s">
        <v>12</v>
      </c>
      <c r="D30" s="36">
        <f>(RADID*RADID*PI())</f>
        <v>12.566370614359172</v>
      </c>
    </row>
    <row r="31" spans="3:4" ht="12.75">
      <c r="C31" s="18" t="s">
        <v>13</v>
      </c>
      <c r="D31" s="36">
        <f>(RAD*RAD*PI())</f>
        <v>153.93804002589985</v>
      </c>
    </row>
    <row r="32" spans="3:4" ht="12.75">
      <c r="C32" s="18" t="s">
        <v>14</v>
      </c>
      <c r="D32" s="36">
        <f>((ODSI-IDSI)*PITCH*(TL/100*60)/1728)</f>
        <v>34.36116964863835</v>
      </c>
    </row>
    <row r="33" spans="3:4" ht="12.75">
      <c r="C33" s="18" t="s">
        <v>15</v>
      </c>
      <c r="D33" s="36">
        <f>CAP/CFHRPM</f>
        <v>181.89136353359473</v>
      </c>
    </row>
  </sheetData>
  <sheetProtection password="C3CC" sheet="1" objects="1" scenarios="1"/>
  <printOptions/>
  <pageMargins left="2.48" right="0.75" top="2.08" bottom="1" header="0.5" footer="0.5"/>
  <pageSetup fitToHeight="1" fitToWidth="1" horizontalDpi="300" verticalDpi="300" orientation="portrait" r:id="rId1"/>
  <headerFooter alignWithMargins="0">
    <oddHeader>&amp;C&amp;"Times New Roman,Bold Italic"&amp;12Martin Conveyor Division&amp;R&amp;D
&amp;T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C59"/>
  <sheetViews>
    <sheetView showGridLines="0" zoomScalePageLayoutView="0" workbookViewId="0" topLeftCell="C1">
      <selection activeCell="M19" sqref="M19"/>
    </sheetView>
  </sheetViews>
  <sheetFormatPr defaultColWidth="9.00390625" defaultRowHeight="15.75"/>
  <cols>
    <col min="1" max="1" width="2.25390625" style="37" customWidth="1"/>
    <col min="2" max="2" width="2.50390625" style="37" customWidth="1"/>
    <col min="3" max="3" width="2.75390625" style="37" customWidth="1"/>
    <col min="4" max="4" width="21.625" style="38" customWidth="1"/>
    <col min="5" max="5" width="14.50390625" style="39" customWidth="1"/>
    <col min="6" max="6" width="2.625" style="39" customWidth="1"/>
    <col min="7" max="7" width="18.25390625" style="39" customWidth="1"/>
    <col min="8" max="8" width="14.875" style="39" customWidth="1"/>
    <col min="9" max="9" width="3.125" style="39" customWidth="1"/>
    <col min="10" max="10" width="22.625" style="39" customWidth="1"/>
    <col min="11" max="11" width="14.625" style="39" customWidth="1"/>
    <col min="12" max="12" width="3.25390625" style="37" customWidth="1"/>
    <col min="13" max="13" width="22.375" style="37" customWidth="1"/>
    <col min="14" max="16" width="9.00390625" style="37" customWidth="1"/>
    <col min="17" max="17" width="8.50390625" style="37" customWidth="1"/>
    <col min="18" max="18" width="8.875" style="37" customWidth="1"/>
    <col min="19" max="19" width="9.375" style="37" customWidth="1"/>
    <col min="20" max="20" width="9.875" style="37" customWidth="1"/>
    <col min="21" max="21" width="9.00390625" style="37" customWidth="1"/>
    <col min="22" max="22" width="10.00390625" style="37" customWidth="1"/>
    <col min="23" max="23" width="9.375" style="37" customWidth="1"/>
    <col min="24" max="24" width="11.875" style="37" customWidth="1"/>
    <col min="25" max="25" width="13.625" style="37" customWidth="1"/>
    <col min="26" max="26" width="9.00390625" style="37" customWidth="1"/>
    <col min="27" max="27" width="9.25390625" style="37" customWidth="1"/>
    <col min="28" max="16384" width="9.00390625" style="37" customWidth="1"/>
  </cols>
  <sheetData>
    <row r="1" ht="20.25" customHeight="1" thickBot="1"/>
    <row r="2" spans="3:12" ht="13.5" thickBot="1">
      <c r="C2" s="40"/>
      <c r="D2" s="41"/>
      <c r="E2" s="42"/>
      <c r="F2" s="42"/>
      <c r="G2" s="42"/>
      <c r="H2" s="42"/>
      <c r="I2" s="42"/>
      <c r="J2" s="42"/>
      <c r="K2" s="42"/>
      <c r="L2" s="43"/>
    </row>
    <row r="3" spans="3:12" ht="15.75">
      <c r="C3" s="44"/>
      <c r="D3" s="45"/>
      <c r="E3" s="46"/>
      <c r="F3" s="46"/>
      <c r="G3" s="47" t="s">
        <v>16</v>
      </c>
      <c r="H3" s="48"/>
      <c r="I3" s="46"/>
      <c r="J3" s="46"/>
      <c r="K3" s="46"/>
      <c r="L3" s="49"/>
    </row>
    <row r="4" spans="3:12" ht="13.5" thickBot="1">
      <c r="C4" s="44"/>
      <c r="D4" s="45"/>
      <c r="E4" s="46"/>
      <c r="F4" s="46"/>
      <c r="G4" s="50" t="str">
        <f>VER</f>
        <v>VERSION 1.1 7/10/98</v>
      </c>
      <c r="H4" s="51"/>
      <c r="I4" s="46"/>
      <c r="J4" s="46"/>
      <c r="K4" s="46"/>
      <c r="L4" s="49"/>
    </row>
    <row r="5" spans="3:12" ht="13.5" thickBot="1">
      <c r="C5" s="44"/>
      <c r="D5" s="45"/>
      <c r="E5" s="46"/>
      <c r="F5" s="46"/>
      <c r="G5" s="46"/>
      <c r="H5" s="46"/>
      <c r="I5" s="46"/>
      <c r="J5" s="52"/>
      <c r="K5" s="46"/>
      <c r="L5" s="49"/>
    </row>
    <row r="6" spans="3:12" s="59" customFormat="1" ht="16.5" thickBot="1">
      <c r="C6" s="53"/>
      <c r="D6" s="54" t="s">
        <v>17</v>
      </c>
      <c r="E6" s="55"/>
      <c r="F6" s="56"/>
      <c r="G6" s="54" t="s">
        <v>18</v>
      </c>
      <c r="H6" s="55"/>
      <c r="I6" s="56"/>
      <c r="J6" s="54" t="s">
        <v>19</v>
      </c>
      <c r="K6" s="57"/>
      <c r="L6" s="58"/>
    </row>
    <row r="7" spans="3:12" s="66" customFormat="1" ht="15.75">
      <c r="C7" s="60"/>
      <c r="D7" s="61" t="s">
        <v>20</v>
      </c>
      <c r="E7" s="62"/>
      <c r="F7" s="63"/>
      <c r="G7" s="61" t="s">
        <v>20</v>
      </c>
      <c r="H7" s="62"/>
      <c r="I7" s="63"/>
      <c r="J7" s="61" t="s">
        <v>21</v>
      </c>
      <c r="K7" s="64">
        <v>21</v>
      </c>
      <c r="L7" s="65"/>
    </row>
    <row r="8" spans="3:12" s="66" customFormat="1" ht="15.75">
      <c r="C8" s="60"/>
      <c r="D8" s="67" t="s">
        <v>22</v>
      </c>
      <c r="E8" s="68"/>
      <c r="F8" s="63"/>
      <c r="G8" s="67" t="s">
        <v>22</v>
      </c>
      <c r="H8" s="68"/>
      <c r="I8" s="63"/>
      <c r="J8" s="67" t="s">
        <v>23</v>
      </c>
      <c r="K8" s="69">
        <v>4.5</v>
      </c>
      <c r="L8" s="65"/>
    </row>
    <row r="9" spans="3:12" s="66" customFormat="1" ht="15.75">
      <c r="C9" s="60"/>
      <c r="D9" s="67" t="s">
        <v>24</v>
      </c>
      <c r="E9" s="70"/>
      <c r="F9" s="63"/>
      <c r="G9" s="67" t="s">
        <v>24</v>
      </c>
      <c r="H9" s="70"/>
      <c r="I9" s="63"/>
      <c r="J9" s="67" t="s">
        <v>25</v>
      </c>
      <c r="K9" s="69">
        <v>40</v>
      </c>
      <c r="L9" s="65"/>
    </row>
    <row r="10" spans="3:12" s="66" customFormat="1" ht="16.5" thickBot="1">
      <c r="C10" s="60"/>
      <c r="D10" s="67" t="s">
        <v>23</v>
      </c>
      <c r="E10" s="69"/>
      <c r="F10" s="63"/>
      <c r="G10" s="67" t="s">
        <v>26</v>
      </c>
      <c r="H10" s="71"/>
      <c r="I10" s="63"/>
      <c r="J10" s="72" t="s">
        <v>27</v>
      </c>
      <c r="K10" s="73">
        <v>25</v>
      </c>
      <c r="L10" s="65"/>
    </row>
    <row r="11" spans="3:12" s="66" customFormat="1" ht="16.5" thickBot="1">
      <c r="C11" s="60"/>
      <c r="D11" s="67" t="s">
        <v>25</v>
      </c>
      <c r="E11" s="69"/>
      <c r="F11" s="63"/>
      <c r="G11" s="67" t="s">
        <v>28</v>
      </c>
      <c r="H11" s="71"/>
      <c r="I11" s="63"/>
      <c r="J11" s="74" t="s">
        <v>29</v>
      </c>
      <c r="K11" s="75">
        <f>IF(K7=""," ",X59)</f>
        <v>0.03521158248676492</v>
      </c>
      <c r="L11" s="65"/>
    </row>
    <row r="12" spans="3:15" s="66" customFormat="1" ht="16.5" thickBot="1">
      <c r="C12" s="60"/>
      <c r="D12" s="67" t="s">
        <v>30</v>
      </c>
      <c r="E12" s="76"/>
      <c r="F12" s="63"/>
      <c r="G12" s="67" t="s">
        <v>30</v>
      </c>
      <c r="H12" s="76"/>
      <c r="I12" s="63"/>
      <c r="J12" s="77" t="str">
        <f>IF(X59&gt;=0.2501,"ERROR - EXCEEDS MAX. ALLOWED !"," ")</f>
        <v> </v>
      </c>
      <c r="K12" s="78"/>
      <c r="L12" s="65"/>
      <c r="N12" s="79">
        <f>IF(H11=0,0,(H10-(2*H11)))</f>
        <v>0</v>
      </c>
      <c r="O12" s="80" t="s">
        <v>31</v>
      </c>
    </row>
    <row r="13" spans="3:15" s="66" customFormat="1" ht="16.5" thickBot="1">
      <c r="C13" s="60"/>
      <c r="D13" s="72" t="s">
        <v>32</v>
      </c>
      <c r="E13" s="81"/>
      <c r="F13" s="63"/>
      <c r="G13" s="72" t="s">
        <v>32</v>
      </c>
      <c r="H13" s="81"/>
      <c r="I13" s="63"/>
      <c r="J13" s="82" t="s">
        <v>33</v>
      </c>
      <c r="K13" s="83"/>
      <c r="L13" s="65"/>
      <c r="N13" s="84">
        <f>IF(K16=0,0,(K15-(K16*2)))</f>
        <v>0</v>
      </c>
      <c r="O13" s="80" t="s">
        <v>34</v>
      </c>
    </row>
    <row r="14" spans="3:12" s="66" customFormat="1" ht="16.5" thickBot="1">
      <c r="C14" s="60"/>
      <c r="D14" s="85" t="s">
        <v>35</v>
      </c>
      <c r="E14" s="86"/>
      <c r="F14" s="63"/>
      <c r="G14" s="85" t="s">
        <v>36</v>
      </c>
      <c r="H14" s="86"/>
      <c r="I14" s="63"/>
      <c r="J14" s="61" t="s">
        <v>21</v>
      </c>
      <c r="K14" s="64"/>
      <c r="L14" s="65"/>
    </row>
    <row r="15" spans="3:12" s="66" customFormat="1" ht="16.5" thickBot="1">
      <c r="C15" s="60"/>
      <c r="D15" s="87"/>
      <c r="E15" s="63"/>
      <c r="F15" s="63"/>
      <c r="G15" s="88"/>
      <c r="H15" s="88"/>
      <c r="I15" s="63"/>
      <c r="J15" s="67" t="s">
        <v>26</v>
      </c>
      <c r="K15" s="71"/>
      <c r="L15" s="65"/>
    </row>
    <row r="16" spans="3:23" s="66" customFormat="1" ht="16.5" thickBot="1">
      <c r="C16" s="60"/>
      <c r="D16" s="87"/>
      <c r="E16" s="63"/>
      <c r="F16" s="63"/>
      <c r="G16" s="89" t="s">
        <v>37</v>
      </c>
      <c r="H16" s="90" t="str">
        <f>IF(H7=""," ",(((H10^4)-(N12^4))*0.04908))</f>
        <v> </v>
      </c>
      <c r="I16" s="63"/>
      <c r="J16" s="67" t="s">
        <v>28</v>
      </c>
      <c r="K16" s="71"/>
      <c r="L16" s="65"/>
      <c r="N16" s="91" t="s">
        <v>38</v>
      </c>
      <c r="O16" s="91"/>
      <c r="R16" s="92"/>
      <c r="S16" s="92" t="s">
        <v>39</v>
      </c>
      <c r="T16" s="93"/>
      <c r="U16" s="92"/>
      <c r="V16" s="92" t="s">
        <v>40</v>
      </c>
      <c r="W16" s="92"/>
    </row>
    <row r="17" spans="3:23" s="66" customFormat="1" ht="16.5" thickBot="1">
      <c r="C17" s="60"/>
      <c r="D17" s="74" t="s">
        <v>41</v>
      </c>
      <c r="E17" s="94" t="str">
        <f>IF(E7=""," ",N50)</f>
        <v> </v>
      </c>
      <c r="F17" s="63"/>
      <c r="G17" s="74" t="s">
        <v>41</v>
      </c>
      <c r="H17" s="94" t="str">
        <f>IF(H7=""," ",S55)</f>
        <v> </v>
      </c>
      <c r="I17" s="63"/>
      <c r="J17" s="72" t="s">
        <v>27</v>
      </c>
      <c r="K17" s="73"/>
      <c r="L17" s="65"/>
      <c r="N17" s="95" t="s">
        <v>42</v>
      </c>
      <c r="O17" s="95" t="s">
        <v>43</v>
      </c>
      <c r="P17" s="95" t="s">
        <v>44</v>
      </c>
      <c r="Q17" s="96"/>
      <c r="R17" s="95" t="s">
        <v>45</v>
      </c>
      <c r="S17" s="95" t="s">
        <v>46</v>
      </c>
      <c r="T17" s="95" t="s">
        <v>47</v>
      </c>
      <c r="U17" s="95" t="s">
        <v>48</v>
      </c>
      <c r="V17" s="95" t="s">
        <v>49</v>
      </c>
      <c r="W17" s="95" t="s">
        <v>50</v>
      </c>
    </row>
    <row r="18" spans="3:23" s="66" customFormat="1" ht="16.5" thickBot="1">
      <c r="C18" s="60"/>
      <c r="D18" s="97"/>
      <c r="E18" s="98"/>
      <c r="F18" s="63"/>
      <c r="G18" s="97"/>
      <c r="H18" s="99"/>
      <c r="I18" s="63"/>
      <c r="J18" s="89" t="s">
        <v>37</v>
      </c>
      <c r="K18" s="100" t="str">
        <f>IF(K14=""," ",(((K15^4)-(N13^4))*0.04908))</f>
        <v> </v>
      </c>
      <c r="L18" s="65"/>
      <c r="N18" s="101">
        <v>0.1344</v>
      </c>
      <c r="O18" s="101">
        <v>5.5625</v>
      </c>
      <c r="P18" s="101">
        <v>5.67</v>
      </c>
      <c r="R18" s="101">
        <v>1.25</v>
      </c>
      <c r="S18" s="101">
        <v>1.66</v>
      </c>
      <c r="T18" s="101">
        <v>0.1947</v>
      </c>
      <c r="U18" s="101">
        <v>0.2418</v>
      </c>
      <c r="V18" s="102">
        <v>2.273</v>
      </c>
      <c r="W18" s="102">
        <v>2.997</v>
      </c>
    </row>
    <row r="19" spans="3:23" s="66" customFormat="1" ht="16.5" thickBot="1">
      <c r="C19" s="60"/>
      <c r="D19" s="74" t="s">
        <v>29</v>
      </c>
      <c r="E19" s="75" t="str">
        <f>IF(E7=""," ",N54)</f>
        <v> </v>
      </c>
      <c r="F19" s="63"/>
      <c r="G19" s="74" t="s">
        <v>51</v>
      </c>
      <c r="H19" s="75" t="str">
        <f>IF(H7=""," ",S59)</f>
        <v> </v>
      </c>
      <c r="I19" s="63"/>
      <c r="J19" s="74" t="s">
        <v>51</v>
      </c>
      <c r="K19" s="75" t="str">
        <f>IF(K14=""," ",AA59)</f>
        <v> </v>
      </c>
      <c r="L19" s="65"/>
      <c r="N19" s="101">
        <v>0.1875</v>
      </c>
      <c r="O19" s="101">
        <v>7.66</v>
      </c>
      <c r="P19" s="101">
        <v>8.579</v>
      </c>
      <c r="R19" s="101">
        <v>2</v>
      </c>
      <c r="S19" s="101">
        <v>2.375</v>
      </c>
      <c r="T19" s="101">
        <v>0.666</v>
      </c>
      <c r="U19" s="101">
        <v>0.868</v>
      </c>
      <c r="V19" s="102">
        <v>3.653</v>
      </c>
      <c r="W19" s="102">
        <v>5.022</v>
      </c>
    </row>
    <row r="20" spans="3:23" s="66" customFormat="1" ht="16.5" thickBot="1">
      <c r="C20" s="60"/>
      <c r="D20" s="77" t="str">
        <f>IF(N54&gt;=0.2501,"ERROR - EXCEEDS MAX. ALLOWED !"," ")</f>
        <v> </v>
      </c>
      <c r="E20" s="103"/>
      <c r="F20" s="63"/>
      <c r="G20" s="77" t="str">
        <f>IF(S59&gt;=0.2501,"ERROR - EXCEEDS MAX. ALLOWED !"," ")</f>
        <v> </v>
      </c>
      <c r="H20" s="103"/>
      <c r="I20" s="63"/>
      <c r="J20" s="77" t="str">
        <f>IF(AA59&gt;=0.2501,"ERROR - EXCEEDS MAX. ALLOWED !"," ")</f>
        <v> </v>
      </c>
      <c r="K20" s="103"/>
      <c r="L20" s="65"/>
      <c r="N20" s="101">
        <v>0.25</v>
      </c>
      <c r="O20" s="101">
        <v>10.21</v>
      </c>
      <c r="P20" s="101">
        <v>11.16</v>
      </c>
      <c r="R20" s="101">
        <v>2.5</v>
      </c>
      <c r="S20" s="101">
        <v>2.875</v>
      </c>
      <c r="T20" s="101">
        <v>1.53</v>
      </c>
      <c r="U20" s="101">
        <v>1.92</v>
      </c>
      <c r="V20" s="102">
        <v>5.793</v>
      </c>
      <c r="W20" s="102">
        <v>7.661</v>
      </c>
    </row>
    <row r="21" spans="3:23" s="66" customFormat="1" ht="16.5" thickBot="1">
      <c r="C21" s="60"/>
      <c r="D21" s="85" t="s">
        <v>52</v>
      </c>
      <c r="E21" s="86"/>
      <c r="F21" s="63"/>
      <c r="G21" s="104" t="s">
        <v>53</v>
      </c>
      <c r="H21" s="105"/>
      <c r="I21" s="63"/>
      <c r="J21" s="85" t="s">
        <v>52</v>
      </c>
      <c r="K21" s="86"/>
      <c r="L21" s="65"/>
      <c r="N21" s="101">
        <v>0.3125</v>
      </c>
      <c r="O21" s="101">
        <v>12.76</v>
      </c>
      <c r="P21" s="101">
        <v>13.75</v>
      </c>
      <c r="R21" s="101">
        <v>3</v>
      </c>
      <c r="S21" s="101">
        <v>3.5</v>
      </c>
      <c r="T21" s="101">
        <v>3.02</v>
      </c>
      <c r="U21" s="101">
        <v>3.89</v>
      </c>
      <c r="V21" s="102">
        <v>7.576</v>
      </c>
      <c r="W21" s="102">
        <v>10.25</v>
      </c>
    </row>
    <row r="22" spans="3:23" ht="13.5" thickBot="1">
      <c r="C22" s="106"/>
      <c r="D22" s="107"/>
      <c r="E22" s="108"/>
      <c r="F22" s="108"/>
      <c r="G22" s="108"/>
      <c r="H22" s="108"/>
      <c r="I22" s="108"/>
      <c r="J22" s="108"/>
      <c r="K22" s="108"/>
      <c r="L22" s="109"/>
      <c r="N22" s="110">
        <v>0.375</v>
      </c>
      <c r="O22" s="110">
        <v>15.32</v>
      </c>
      <c r="P22" s="110">
        <v>16.5</v>
      </c>
      <c r="R22" s="110">
        <v>3.5</v>
      </c>
      <c r="S22" s="110">
        <v>4</v>
      </c>
      <c r="T22" s="110">
        <v>4.79</v>
      </c>
      <c r="U22" s="110">
        <v>6.28</v>
      </c>
      <c r="V22" s="111">
        <v>9.109</v>
      </c>
      <c r="W22" s="111">
        <v>12.5</v>
      </c>
    </row>
    <row r="23" spans="14:23" ht="12.75">
      <c r="N23" s="110">
        <v>0.4375</v>
      </c>
      <c r="O23" s="110">
        <v>17.87</v>
      </c>
      <c r="P23" s="110">
        <v>19.08</v>
      </c>
      <c r="R23" s="110">
        <v>4</v>
      </c>
      <c r="S23" s="110">
        <v>4.5</v>
      </c>
      <c r="T23" s="110">
        <v>7.23</v>
      </c>
      <c r="U23" s="110">
        <v>9.61</v>
      </c>
      <c r="V23" s="111">
        <v>10.79</v>
      </c>
      <c r="W23" s="111">
        <v>14.98</v>
      </c>
    </row>
    <row r="24" spans="14:23" ht="12.75">
      <c r="N24" s="110">
        <v>0.5</v>
      </c>
      <c r="O24" s="110">
        <v>20.42</v>
      </c>
      <c r="P24" s="110">
        <v>21.66</v>
      </c>
      <c r="R24" s="110">
        <v>5</v>
      </c>
      <c r="S24" s="110">
        <v>5.5625</v>
      </c>
      <c r="T24" s="110">
        <v>15.2</v>
      </c>
      <c r="U24" s="110">
        <v>20.7</v>
      </c>
      <c r="V24" s="111">
        <v>14.62</v>
      </c>
      <c r="W24" s="111">
        <v>20.78</v>
      </c>
    </row>
    <row r="25" spans="14:23" ht="12.75">
      <c r="N25" s="110">
        <v>0.5625</v>
      </c>
      <c r="O25" s="110">
        <v>22.97</v>
      </c>
      <c r="P25" s="110">
        <v>24.25</v>
      </c>
      <c r="R25" s="110">
        <v>6</v>
      </c>
      <c r="S25" s="110">
        <v>6.625</v>
      </c>
      <c r="T25" s="110">
        <v>28.1</v>
      </c>
      <c r="U25" s="110">
        <v>40.5</v>
      </c>
      <c r="V25" s="111">
        <v>18.97</v>
      </c>
      <c r="W25" s="111">
        <v>28.57</v>
      </c>
    </row>
    <row r="26" spans="14:23" ht="12.75">
      <c r="N26" s="110">
        <v>0.625</v>
      </c>
      <c r="O26" s="110">
        <v>25.53</v>
      </c>
      <c r="P26" s="110">
        <v>26.83</v>
      </c>
      <c r="R26" s="110">
        <v>8</v>
      </c>
      <c r="S26" s="110">
        <v>8.625</v>
      </c>
      <c r="T26" s="110">
        <v>72.5</v>
      </c>
      <c r="U26" s="110">
        <v>106</v>
      </c>
      <c r="V26" s="111">
        <v>28.55</v>
      </c>
      <c r="W26" s="111">
        <v>43.39</v>
      </c>
    </row>
    <row r="27" spans="14:23" ht="12.75">
      <c r="N27" s="110">
        <v>0.75</v>
      </c>
      <c r="O27" s="110">
        <v>30.63</v>
      </c>
      <c r="P27" s="110">
        <v>32.12</v>
      </c>
      <c r="R27" s="110">
        <v>10</v>
      </c>
      <c r="S27" s="110">
        <v>10.75</v>
      </c>
      <c r="T27" s="110">
        <v>161</v>
      </c>
      <c r="U27" s="110">
        <v>212</v>
      </c>
      <c r="V27" s="111">
        <v>40.85</v>
      </c>
      <c r="W27" s="111">
        <v>64.33</v>
      </c>
    </row>
    <row r="28" spans="14:23" ht="12.75">
      <c r="N28" s="110">
        <v>0.875</v>
      </c>
      <c r="O28" s="110">
        <v>35.74</v>
      </c>
      <c r="P28" s="110">
        <v>37.29</v>
      </c>
      <c r="R28" s="110">
        <v>12</v>
      </c>
      <c r="S28" s="110">
        <v>12.75</v>
      </c>
      <c r="T28" s="110">
        <v>279</v>
      </c>
      <c r="U28" s="110">
        <v>475</v>
      </c>
      <c r="V28" s="111">
        <v>49.56</v>
      </c>
      <c r="W28" s="111">
        <v>88.61</v>
      </c>
    </row>
    <row r="29" spans="14:21" ht="12.75">
      <c r="N29" s="110">
        <v>1</v>
      </c>
      <c r="O29" s="110">
        <v>40.84</v>
      </c>
      <c r="P29" s="110">
        <v>42.67</v>
      </c>
      <c r="R29" s="112"/>
      <c r="S29" s="112"/>
      <c r="T29" s="112"/>
      <c r="U29" s="112"/>
    </row>
    <row r="30" spans="14:16" ht="12.75">
      <c r="N30" s="110">
        <v>1.125</v>
      </c>
      <c r="O30" s="110">
        <v>45.95</v>
      </c>
      <c r="P30" s="110">
        <v>47.83</v>
      </c>
    </row>
    <row r="31" spans="14:23" ht="13.5" thickBot="1">
      <c r="N31" s="110">
        <v>1.25</v>
      </c>
      <c r="O31" s="110">
        <v>51.05</v>
      </c>
      <c r="P31" s="110">
        <v>53</v>
      </c>
      <c r="R31" s="113" t="s">
        <v>54</v>
      </c>
      <c r="S31" s="114" t="e">
        <f>VLOOKUP(E10,R17:S28,2,TRUE)</f>
        <v>#N/A</v>
      </c>
      <c r="U31" s="115" t="s">
        <v>55</v>
      </c>
      <c r="V31" s="115" t="e">
        <f>VLOOKUP(E10,R18:V28,5,TRUE)</f>
        <v>#N/A</v>
      </c>
      <c r="W31" s="115" t="e">
        <f>VLOOKUP(E10,R18:W28,6,TRUE)</f>
        <v>#N/A</v>
      </c>
    </row>
    <row r="32" spans="14:19" ht="13.5" thickBot="1">
      <c r="N32" s="116" t="s">
        <v>56</v>
      </c>
      <c r="O32" s="117" t="e">
        <f>VLOOKUP(E9,N18:O31,2,TRUE)</f>
        <v>#N/A</v>
      </c>
      <c r="P32" s="118">
        <v>0</v>
      </c>
      <c r="R32" s="113" t="s">
        <v>57</v>
      </c>
      <c r="S32" s="114" t="e">
        <f>VLOOKUP(E10,R18:T28,3,TRUE)</f>
        <v>#N/A</v>
      </c>
    </row>
    <row r="33" spans="15:22" ht="13.5" thickBot="1">
      <c r="O33" s="119" t="s">
        <v>58</v>
      </c>
      <c r="P33" s="117" t="e">
        <f>VLOOKUP(E9,N18:P31,3,TRUE)</f>
        <v>#N/A</v>
      </c>
      <c r="R33" s="113" t="s">
        <v>59</v>
      </c>
      <c r="S33" s="114" t="e">
        <f>VLOOKUP(E10,R18:U28,4,TRUE)</f>
        <v>#N/A</v>
      </c>
      <c r="T33" s="120"/>
      <c r="U33" s="121" t="s">
        <v>55</v>
      </c>
      <c r="V33" s="122">
        <f>IF(E11=40,V31,IF(E11=80,W31,0))</f>
        <v>0</v>
      </c>
    </row>
    <row r="34" spans="18:19" ht="13.5" thickBot="1">
      <c r="R34" s="123"/>
      <c r="S34" s="123"/>
    </row>
    <row r="35" spans="14:19" ht="13.5" thickBot="1">
      <c r="N35" s="124" t="s">
        <v>60</v>
      </c>
      <c r="O35" s="125">
        <f>IF(E13="M",O32,IF(E13="SS",P33,0))</f>
        <v>0</v>
      </c>
      <c r="R35" s="126" t="s">
        <v>61</v>
      </c>
      <c r="S35" s="127">
        <f>IF(E11=40,S32,IF(E11=80,S33,0))</f>
        <v>0</v>
      </c>
    </row>
    <row r="36" spans="12:16" ht="13.5" thickBot="1">
      <c r="L36" s="120"/>
      <c r="M36" s="128"/>
      <c r="N36" s="129"/>
      <c r="O36" s="129"/>
      <c r="P36" s="130"/>
    </row>
    <row r="37" spans="12:22" ht="12.75">
      <c r="L37" s="120"/>
      <c r="M37" s="131" t="s">
        <v>62</v>
      </c>
      <c r="N37" s="123" t="e">
        <f>((S31*PI())^2)+((E8*1.12)^2)</f>
        <v>#N/A</v>
      </c>
      <c r="O37" s="123" t="e">
        <f>SQRT(N37)</f>
        <v>#N/A</v>
      </c>
      <c r="P37" s="132" t="e">
        <f>O37/PI()</f>
        <v>#N/A</v>
      </c>
      <c r="R37" s="133" t="s">
        <v>62</v>
      </c>
      <c r="S37" s="129">
        <f>((H10*PI())^2)+((H8*1.12)^2)</f>
        <v>0</v>
      </c>
      <c r="T37" s="129">
        <f>SQRT(S37)</f>
        <v>0</v>
      </c>
      <c r="U37" s="129">
        <f>T37/PI()</f>
        <v>0</v>
      </c>
      <c r="V37" s="130"/>
    </row>
    <row r="38" spans="12:22" ht="12.75">
      <c r="L38" s="120"/>
      <c r="M38" s="131" t="s">
        <v>63</v>
      </c>
      <c r="N38" s="134" t="e">
        <f>(P37+E7)-S31</f>
        <v>#N/A</v>
      </c>
      <c r="O38" s="123"/>
      <c r="P38" s="132"/>
      <c r="R38" s="131" t="s">
        <v>63</v>
      </c>
      <c r="S38" s="134">
        <f>(U37+H7)-H10</f>
        <v>0</v>
      </c>
      <c r="T38" s="123"/>
      <c r="U38" s="123"/>
      <c r="V38" s="132"/>
    </row>
    <row r="39" spans="12:22" ht="12.75">
      <c r="L39" s="120"/>
      <c r="M39" s="131" t="s">
        <v>64</v>
      </c>
      <c r="N39" s="134" t="e">
        <f>P37</f>
        <v>#N/A</v>
      </c>
      <c r="O39" s="123"/>
      <c r="P39" s="132"/>
      <c r="R39" s="131" t="s">
        <v>64</v>
      </c>
      <c r="S39" s="134">
        <f>U37</f>
        <v>0</v>
      </c>
      <c r="T39" s="135" t="s">
        <v>65</v>
      </c>
      <c r="U39" s="136" t="e">
        <f>VLOOKUP(H9,N18:P31,2,TRUE)</f>
        <v>#N/A</v>
      </c>
      <c r="V39" s="132"/>
    </row>
    <row r="40" spans="12:22" ht="13.5" thickBot="1">
      <c r="L40" s="120"/>
      <c r="M40" s="137"/>
      <c r="N40" s="123"/>
      <c r="O40" s="123"/>
      <c r="P40" s="132"/>
      <c r="R40" s="131">
        <f>((S38/2)^2)*PI()</f>
        <v>0</v>
      </c>
      <c r="S40" s="111" t="s">
        <v>66</v>
      </c>
      <c r="T40" s="135" t="s">
        <v>67</v>
      </c>
      <c r="U40" s="136" t="e">
        <f>VLOOKUP(H9,N18:P31,3,TRUE)</f>
        <v>#N/A</v>
      </c>
      <c r="V40" s="132"/>
    </row>
    <row r="41" spans="12:22" ht="13.5" thickBot="1">
      <c r="L41" s="120"/>
      <c r="M41" s="137"/>
      <c r="N41" s="111" t="e">
        <f>((N38/2)^2)*PI()</f>
        <v>#N/A</v>
      </c>
      <c r="O41" s="111" t="s">
        <v>66</v>
      </c>
      <c r="P41" s="132"/>
      <c r="R41" s="131">
        <f>((U37/2)^2)*PI()</f>
        <v>0</v>
      </c>
      <c r="S41" s="111" t="s">
        <v>68</v>
      </c>
      <c r="T41" s="116" t="s">
        <v>69</v>
      </c>
      <c r="U41" s="125">
        <f>IF(H13="M",U39,IF(H13="SS",U40,0))</f>
        <v>0</v>
      </c>
      <c r="V41" s="132"/>
    </row>
    <row r="42" spans="12:22" ht="13.5" thickBot="1">
      <c r="L42" s="120"/>
      <c r="M42" s="137"/>
      <c r="N42" s="111" t="e">
        <f>((P37/2)^2)*PI()</f>
        <v>#N/A</v>
      </c>
      <c r="O42" s="111" t="s">
        <v>68</v>
      </c>
      <c r="P42" s="132"/>
      <c r="R42" s="131">
        <f>(R40-R41)/144</f>
        <v>0</v>
      </c>
      <c r="S42" s="111" t="s">
        <v>70</v>
      </c>
      <c r="T42" s="123"/>
      <c r="U42" s="123"/>
      <c r="V42" s="132"/>
    </row>
    <row r="43" spans="12:22" ht="13.5" thickBot="1">
      <c r="L43" s="120"/>
      <c r="M43" s="137"/>
      <c r="N43" s="111" t="e">
        <f>(N41-N42)/144</f>
        <v>#N/A</v>
      </c>
      <c r="O43" s="111" t="s">
        <v>70</v>
      </c>
      <c r="P43" s="132"/>
      <c r="R43" s="121">
        <f>R42*U41</f>
        <v>0</v>
      </c>
      <c r="S43" s="138" t="s">
        <v>71</v>
      </c>
      <c r="T43" s="123"/>
      <c r="U43" s="123"/>
      <c r="V43" s="132"/>
    </row>
    <row r="44" spans="12:22" ht="13.5" thickBot="1">
      <c r="L44" s="120"/>
      <c r="M44" s="137"/>
      <c r="N44" s="121" t="e">
        <f>N43*O35</f>
        <v>#N/A</v>
      </c>
      <c r="O44" s="138" t="s">
        <v>71</v>
      </c>
      <c r="P44" s="132"/>
      <c r="R44" s="137"/>
      <c r="S44" s="123"/>
      <c r="T44" s="123"/>
      <c r="U44" s="123"/>
      <c r="V44" s="132"/>
    </row>
    <row r="45" spans="12:27" ht="13.5" thickBot="1">
      <c r="L45" s="120"/>
      <c r="M45" s="137"/>
      <c r="N45" s="123"/>
      <c r="O45" s="123"/>
      <c r="P45" s="132"/>
      <c r="R45" s="139" t="e">
        <f>H12*12/H8</f>
        <v>#DIV/0!</v>
      </c>
      <c r="S45" s="140" t="s">
        <v>72</v>
      </c>
      <c r="T45" s="123"/>
      <c r="U45" s="123"/>
      <c r="V45" s="132"/>
      <c r="X45" s="118"/>
      <c r="Y45" s="118"/>
      <c r="Z45" s="118"/>
      <c r="AA45" s="118"/>
    </row>
    <row r="46" spans="12:27" ht="13.5" thickBot="1">
      <c r="L46" s="120"/>
      <c r="M46" s="137"/>
      <c r="N46" s="139" t="e">
        <f>E12*12/E8</f>
        <v>#DIV/0!</v>
      </c>
      <c r="O46" s="140" t="s">
        <v>72</v>
      </c>
      <c r="P46" s="132"/>
      <c r="R46" s="137"/>
      <c r="S46" s="123"/>
      <c r="T46" s="123"/>
      <c r="U46" s="123"/>
      <c r="V46" s="132"/>
      <c r="X46" s="118"/>
      <c r="Y46" s="118"/>
      <c r="Z46" s="118"/>
      <c r="AA46" s="118"/>
    </row>
    <row r="47" spans="12:27" ht="13.5" thickBot="1">
      <c r="L47" s="120"/>
      <c r="M47" s="137"/>
      <c r="N47" s="123"/>
      <c r="O47" s="123"/>
      <c r="P47" s="132"/>
      <c r="R47" s="141" t="e">
        <f>R45*R43</f>
        <v>#DIV/0!</v>
      </c>
      <c r="S47" s="142" t="s">
        <v>73</v>
      </c>
      <c r="T47" s="143"/>
      <c r="U47" s="123"/>
      <c r="V47" s="132"/>
      <c r="X47" s="118"/>
      <c r="Y47" s="118"/>
      <c r="Z47" s="118"/>
      <c r="AA47" s="118"/>
    </row>
    <row r="48" spans="12:27" ht="13.5" thickBot="1">
      <c r="L48" s="120"/>
      <c r="M48" s="137"/>
      <c r="N48" s="141" t="e">
        <f>N46*N44</f>
        <v>#DIV/0!</v>
      </c>
      <c r="O48" s="142" t="s">
        <v>73</v>
      </c>
      <c r="P48" s="143"/>
      <c r="R48" s="111" t="s">
        <v>74</v>
      </c>
      <c r="S48" s="111">
        <f>H10/2</f>
        <v>0</v>
      </c>
      <c r="T48" s="111"/>
      <c r="U48" s="111"/>
      <c r="V48" s="132"/>
      <c r="X48" s="118"/>
      <c r="Y48" s="118"/>
      <c r="Z48" s="118"/>
      <c r="AA48" s="118"/>
    </row>
    <row r="49" spans="12:25" ht="13.5" thickBot="1">
      <c r="L49" s="120"/>
      <c r="M49" s="137"/>
      <c r="N49" s="144">
        <f>IF(E13="M",(V33*E12),IF(E13="SS",(V33*E12/0.925816),0))</f>
        <v>0</v>
      </c>
      <c r="O49" s="111" t="s">
        <v>75</v>
      </c>
      <c r="P49" s="145"/>
      <c r="R49" s="111" t="s">
        <v>76</v>
      </c>
      <c r="S49" s="111">
        <f>N12/2</f>
        <v>0</v>
      </c>
      <c r="T49" s="111"/>
      <c r="U49" s="111"/>
      <c r="V49" s="132"/>
      <c r="X49" s="128"/>
      <c r="Y49" s="130"/>
    </row>
    <row r="50" spans="12:25" ht="13.5" thickBot="1">
      <c r="L50" s="120"/>
      <c r="M50" s="137"/>
      <c r="N50" s="146" t="e">
        <f>SUM(N48:N49)</f>
        <v>#DIV/0!</v>
      </c>
      <c r="O50" s="147" t="s">
        <v>77</v>
      </c>
      <c r="P50" s="148"/>
      <c r="R50" s="111" t="s">
        <v>78</v>
      </c>
      <c r="S50" s="111">
        <f>(((S48^2)*PI())-((S49^2)*PI()))*3.3996</f>
        <v>0</v>
      </c>
      <c r="T50" s="111" t="s">
        <v>79</v>
      </c>
      <c r="U50" s="111"/>
      <c r="V50" s="132"/>
      <c r="X50" s="149" t="s">
        <v>54</v>
      </c>
      <c r="Y50" s="150">
        <f>VLOOKUP(K8,R18:U28,2,TRUE)</f>
        <v>4.5</v>
      </c>
    </row>
    <row r="51" spans="12:25" ht="12.75">
      <c r="L51" s="120"/>
      <c r="M51" s="137"/>
      <c r="N51" s="123"/>
      <c r="O51" s="123"/>
      <c r="P51" s="132"/>
      <c r="R51" s="111" t="s">
        <v>80</v>
      </c>
      <c r="S51" s="111">
        <f>(((S48^2)*PI())-((S49^2)*PI()))*3.672</f>
        <v>0</v>
      </c>
      <c r="T51" s="111" t="s">
        <v>81</v>
      </c>
      <c r="U51" s="111"/>
      <c r="V51" s="132"/>
      <c r="X51" s="149" t="s">
        <v>57</v>
      </c>
      <c r="Y51" s="150">
        <f>VLOOKUP(K8,R18:U28,3,TRUE)</f>
        <v>7.23</v>
      </c>
    </row>
    <row r="52" spans="12:25" ht="13.5" thickBot="1">
      <c r="L52" s="120"/>
      <c r="M52" s="137"/>
      <c r="N52" s="111" t="e">
        <f>((E12*12)^3)*5*N50</f>
        <v>#DIV/0!</v>
      </c>
      <c r="O52" s="123"/>
      <c r="P52" s="132"/>
      <c r="R52" s="137"/>
      <c r="S52" s="123"/>
      <c r="T52" s="123"/>
      <c r="U52" s="123"/>
      <c r="V52" s="132"/>
      <c r="X52" s="149" t="s">
        <v>59</v>
      </c>
      <c r="Y52" s="150">
        <f>VLOOKUP(K8,R18:U28,4,TRUE)</f>
        <v>9.61</v>
      </c>
    </row>
    <row r="53" spans="12:26" ht="13.5" thickBot="1">
      <c r="L53" s="120"/>
      <c r="M53" s="137"/>
      <c r="N53" s="111">
        <f>384*(29000000)*S35</f>
        <v>0</v>
      </c>
      <c r="O53" s="123"/>
      <c r="P53" s="132"/>
      <c r="R53" s="137"/>
      <c r="S53" s="133">
        <f>IF(H13="M",(H12*S50),IF(H13="SS",(H12*S51),0))</f>
        <v>0</v>
      </c>
      <c r="T53" s="151" t="s">
        <v>82</v>
      </c>
      <c r="U53" s="152"/>
      <c r="V53" s="132"/>
      <c r="X53" s="153" t="s">
        <v>61</v>
      </c>
      <c r="Y53" s="154">
        <f>IF(K9=40,Y51,IF(K9=80,Y52,0))</f>
        <v>7.23</v>
      </c>
      <c r="Z53" s="118"/>
    </row>
    <row r="54" spans="12:26" ht="13.5" thickBot="1">
      <c r="L54" s="120"/>
      <c r="M54" s="137"/>
      <c r="N54" s="146">
        <f>IF(E7="",0,(N52/N53))</f>
        <v>0</v>
      </c>
      <c r="O54" s="155" t="s">
        <v>83</v>
      </c>
      <c r="P54" s="132"/>
      <c r="R54" s="137"/>
      <c r="S54" s="144" t="e">
        <f>R43*R45</f>
        <v>#DIV/0!</v>
      </c>
      <c r="T54" s="156" t="s">
        <v>73</v>
      </c>
      <c r="U54" s="157"/>
      <c r="V54" s="132"/>
      <c r="X54" s="158"/>
      <c r="Y54" s="159"/>
      <c r="Z54" s="118"/>
    </row>
    <row r="55" spans="12:26" ht="13.5" thickBot="1">
      <c r="L55" s="120"/>
      <c r="M55" s="137"/>
      <c r="N55" s="123"/>
      <c r="O55" s="123"/>
      <c r="P55" s="132"/>
      <c r="R55" s="137"/>
      <c r="S55" s="146" t="e">
        <f>SUM(S53:S54)</f>
        <v>#DIV/0!</v>
      </c>
      <c r="T55" s="147" t="s">
        <v>77</v>
      </c>
      <c r="U55" s="148"/>
      <c r="V55" s="132"/>
      <c r="X55" s="160">
        <f>K7</f>
        <v>21</v>
      </c>
      <c r="Y55" s="161" t="s">
        <v>77</v>
      </c>
      <c r="Z55" s="123"/>
    </row>
    <row r="56" spans="12:29" ht="13.5" thickBot="1">
      <c r="L56" s="120"/>
      <c r="M56" s="162"/>
      <c r="N56" s="163"/>
      <c r="O56" s="163"/>
      <c r="P56" s="164"/>
      <c r="R56" s="137"/>
      <c r="S56" s="123"/>
      <c r="T56" s="123"/>
      <c r="U56" s="123"/>
      <c r="V56" s="132"/>
      <c r="X56" s="137"/>
      <c r="Y56" s="132"/>
      <c r="AA56" s="128"/>
      <c r="AB56" s="129"/>
      <c r="AC56" s="130"/>
    </row>
    <row r="57" spans="18:29" ht="12.75">
      <c r="R57" s="137"/>
      <c r="S57" s="111" t="e">
        <f>((H12*12)^3)*5*S55</f>
        <v>#DIV/0!</v>
      </c>
      <c r="T57" s="123"/>
      <c r="U57" s="123"/>
      <c r="V57" s="132"/>
      <c r="X57" s="131">
        <f>((K10*12)^3)*5*K7</f>
        <v>2835000000</v>
      </c>
      <c r="Y57" s="132"/>
      <c r="AA57" s="131">
        <f>((K17*12)^3)*5*K14</f>
        <v>0</v>
      </c>
      <c r="AB57" s="123"/>
      <c r="AC57" s="132"/>
    </row>
    <row r="58" spans="18:29" ht="13.5" thickBot="1">
      <c r="R58" s="137"/>
      <c r="S58" s="111" t="e">
        <f>384*(29000000)*H16</f>
        <v>#VALUE!</v>
      </c>
      <c r="T58" s="123"/>
      <c r="U58" s="123"/>
      <c r="V58" s="132"/>
      <c r="X58" s="131">
        <f>384*(29000000)*Y53</f>
        <v>80513280000</v>
      </c>
      <c r="Y58" s="132"/>
      <c r="AA58" s="131" t="e">
        <f>384*(29000000)*K18</f>
        <v>#VALUE!</v>
      </c>
      <c r="AB58" s="123"/>
      <c r="AC58" s="132"/>
    </row>
    <row r="59" spans="18:29" ht="13.5" thickBot="1">
      <c r="R59" s="162"/>
      <c r="S59" s="146">
        <f>IF(H7="",0,(S57/S58))</f>
        <v>0</v>
      </c>
      <c r="T59" s="155" t="s">
        <v>84</v>
      </c>
      <c r="U59" s="163"/>
      <c r="V59" s="164"/>
      <c r="X59" s="146">
        <f>IF(K7="",0,(X57/X58))</f>
        <v>0.03521158248676492</v>
      </c>
      <c r="Y59" s="165" t="s">
        <v>85</v>
      </c>
      <c r="AA59" s="166">
        <f>IF(K14="",0,(AA57/AA58))</f>
        <v>0</v>
      </c>
      <c r="AB59" s="167" t="s">
        <v>86</v>
      </c>
      <c r="AC59" s="164"/>
    </row>
  </sheetData>
  <sheetProtection password="C3CC" sheet="1" objects="1" scenarios="1"/>
  <printOptions/>
  <pageMargins left="0.75" right="0.75" top="1.85" bottom="1" header="0.5" footer="0.5"/>
  <pageSetup fitToHeight="1" fitToWidth="1" orientation="portrait" scale="81" r:id="rId1"/>
  <headerFooter alignWithMargins="0">
    <oddHeader>&amp;C&amp;"Times New Roman,Bold Italic"&amp;12Martin Conveyor Division &amp;R&amp;D
&amp;T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2"/>
  <sheetViews>
    <sheetView showGridLines="0" tabSelected="1" zoomScale="75" zoomScaleNormal="75" zoomScalePageLayoutView="0" workbookViewId="0" topLeftCell="A1">
      <selection activeCell="E8" sqref="E8"/>
    </sheetView>
  </sheetViews>
  <sheetFormatPr defaultColWidth="9.00390625" defaultRowHeight="15.75"/>
  <cols>
    <col min="1" max="1" width="2.00390625" style="168" customWidth="1"/>
    <col min="2" max="2" width="2.50390625" style="168" customWidth="1"/>
    <col min="3" max="3" width="7.75390625" style="168" customWidth="1"/>
    <col min="4" max="4" width="11.25390625" style="168" customWidth="1"/>
    <col min="5" max="5" width="13.125" style="169" customWidth="1"/>
    <col min="6" max="6" width="2.875" style="168" customWidth="1"/>
    <col min="7" max="7" width="2.50390625" style="168" customWidth="1"/>
    <col min="8" max="19" width="1.37890625" style="168" customWidth="1"/>
    <col min="20" max="20" width="9.00390625" style="168" customWidth="1"/>
    <col min="21" max="21" width="11.25390625" style="168" customWidth="1"/>
    <col min="22" max="22" width="12.125" style="169" customWidth="1"/>
    <col min="23" max="23" width="2.375" style="168" customWidth="1"/>
    <col min="24" max="16384" width="9.00390625" style="168" customWidth="1"/>
  </cols>
  <sheetData>
    <row r="1" ht="13.5" thickBot="1"/>
    <row r="2" spans="2:23" ht="13.5" thickBot="1">
      <c r="B2" s="170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2"/>
      <c r="W2" s="173"/>
    </row>
    <row r="3" spans="2:23" ht="15.75">
      <c r="B3" s="174"/>
      <c r="C3" s="175"/>
      <c r="D3" s="176" t="s">
        <v>87</v>
      </c>
      <c r="E3" s="177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8"/>
      <c r="W3" s="179"/>
    </row>
    <row r="4" spans="2:23" ht="13.5" thickBot="1">
      <c r="B4" s="174"/>
      <c r="C4" s="180"/>
      <c r="D4" s="181"/>
      <c r="E4" s="182"/>
      <c r="F4" s="183"/>
      <c r="G4" s="183"/>
      <c r="H4" s="184" t="str">
        <f>VER</f>
        <v>VERSION 1.1 7/10/98</v>
      </c>
      <c r="I4" s="184"/>
      <c r="J4" s="184"/>
      <c r="K4" s="184"/>
      <c r="L4" s="184"/>
      <c r="M4" s="184"/>
      <c r="N4" s="184"/>
      <c r="O4" s="184"/>
      <c r="P4" s="185"/>
      <c r="Q4" s="185"/>
      <c r="R4" s="185"/>
      <c r="S4" s="185"/>
      <c r="T4" s="183"/>
      <c r="U4" s="181"/>
      <c r="V4" s="186"/>
      <c r="W4" s="179"/>
    </row>
    <row r="5" spans="2:23" ht="13.5" thickBot="1">
      <c r="B5" s="174"/>
      <c r="C5" s="187"/>
      <c r="D5" s="187"/>
      <c r="E5" s="188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8"/>
      <c r="W5" s="179"/>
    </row>
    <row r="6" spans="2:24" ht="12.75">
      <c r="B6" s="174"/>
      <c r="C6" s="189" t="s">
        <v>88</v>
      </c>
      <c r="D6" s="190" t="s">
        <v>89</v>
      </c>
      <c r="E6" s="191">
        <v>40</v>
      </c>
      <c r="F6" s="192"/>
      <c r="G6" s="193"/>
      <c r="H6" s="194"/>
      <c r="I6" s="194"/>
      <c r="J6" s="194"/>
      <c r="K6" s="194"/>
      <c r="L6" s="194"/>
      <c r="M6" s="194"/>
      <c r="N6" s="194"/>
      <c r="O6" s="194" t="s">
        <v>90</v>
      </c>
      <c r="P6" s="194"/>
      <c r="Q6" s="194"/>
      <c r="R6" s="194"/>
      <c r="S6" s="195"/>
      <c r="T6" s="189" t="s">
        <v>88</v>
      </c>
      <c r="U6" s="190" t="s">
        <v>91</v>
      </c>
      <c r="V6" s="196">
        <v>7</v>
      </c>
      <c r="W6" s="179"/>
      <c r="X6" s="169"/>
    </row>
    <row r="7" spans="2:23" ht="13.5" thickBot="1">
      <c r="B7" s="174"/>
      <c r="C7" s="189" t="s">
        <v>88</v>
      </c>
      <c r="D7" s="197" t="s">
        <v>91</v>
      </c>
      <c r="E7" s="198">
        <v>82</v>
      </c>
      <c r="F7" s="192"/>
      <c r="G7" s="199"/>
      <c r="H7" s="200"/>
      <c r="I7" s="200"/>
      <c r="J7" s="200"/>
      <c r="K7" s="200"/>
      <c r="L7" s="200"/>
      <c r="M7" s="200"/>
      <c r="N7" s="200" t="s">
        <v>92</v>
      </c>
      <c r="O7" s="200" t="s">
        <v>93</v>
      </c>
      <c r="P7" s="200"/>
      <c r="Q7" s="200"/>
      <c r="R7" s="200"/>
      <c r="S7" s="201"/>
      <c r="T7" s="189" t="s">
        <v>88</v>
      </c>
      <c r="U7" s="197" t="s">
        <v>94</v>
      </c>
      <c r="V7" s="202">
        <v>3.75</v>
      </c>
      <c r="W7" s="179"/>
    </row>
    <row r="8" spans="2:23" ht="12.75">
      <c r="B8" s="174"/>
      <c r="C8" s="189" t="s">
        <v>95</v>
      </c>
      <c r="D8" s="190" t="s">
        <v>96</v>
      </c>
      <c r="E8" s="203">
        <f>IF(E6=""," ",(E7*SIN(E6/57.296)))</f>
        <v>52.70841523636612</v>
      </c>
      <c r="F8" s="192"/>
      <c r="G8" s="199"/>
      <c r="H8" s="200"/>
      <c r="I8" s="200"/>
      <c r="J8" s="200"/>
      <c r="K8" s="200"/>
      <c r="L8" s="200"/>
      <c r="M8" s="200" t="s">
        <v>92</v>
      </c>
      <c r="N8" s="200"/>
      <c r="O8" s="200" t="s">
        <v>93</v>
      </c>
      <c r="P8" s="200"/>
      <c r="Q8" s="200"/>
      <c r="R8" s="200"/>
      <c r="S8" s="201"/>
      <c r="T8" s="189" t="s">
        <v>95</v>
      </c>
      <c r="U8" s="190" t="s">
        <v>97</v>
      </c>
      <c r="V8" s="204">
        <f>IF(V6=""," ",SQRT((V6^2)-(V7^2)))</f>
        <v>5.9107952087684446</v>
      </c>
      <c r="W8" s="179"/>
    </row>
    <row r="9" spans="2:23" ht="13.5" thickBot="1">
      <c r="B9" s="174"/>
      <c r="C9" s="189" t="s">
        <v>95</v>
      </c>
      <c r="D9" s="197" t="s">
        <v>97</v>
      </c>
      <c r="E9" s="205">
        <f>IF(E6=""," ",SQRT((E7^2)-(E8^2)))</f>
        <v>62.81578594008681</v>
      </c>
      <c r="F9" s="192"/>
      <c r="G9" s="206"/>
      <c r="H9" s="207" t="s">
        <v>98</v>
      </c>
      <c r="I9" s="208"/>
      <c r="J9" s="209"/>
      <c r="K9" s="200"/>
      <c r="L9" s="200" t="s">
        <v>92</v>
      </c>
      <c r="M9" s="200"/>
      <c r="N9" s="200"/>
      <c r="O9" s="200" t="s">
        <v>93</v>
      </c>
      <c r="P9" s="200"/>
      <c r="Q9" s="200"/>
      <c r="R9" s="200"/>
      <c r="S9" s="201"/>
      <c r="T9" s="189" t="s">
        <v>95</v>
      </c>
      <c r="U9" s="197" t="s">
        <v>99</v>
      </c>
      <c r="V9" s="210">
        <f>IF(V7=""," ",ATAN(V7/V8)*57.296)</f>
        <v>32.39249013887823</v>
      </c>
      <c r="W9" s="179"/>
    </row>
    <row r="10" spans="2:23" ht="13.5" thickBot="1">
      <c r="B10" s="174"/>
      <c r="C10" s="211"/>
      <c r="D10" s="187"/>
      <c r="E10" s="188"/>
      <c r="F10" s="192"/>
      <c r="G10" s="206"/>
      <c r="H10" s="207" t="s">
        <v>100</v>
      </c>
      <c r="I10" s="207"/>
      <c r="J10" s="212"/>
      <c r="K10" s="200" t="s">
        <v>92</v>
      </c>
      <c r="L10" s="200"/>
      <c r="M10" s="200"/>
      <c r="N10" s="200"/>
      <c r="O10" s="200" t="s">
        <v>93</v>
      </c>
      <c r="P10" s="213" t="s">
        <v>101</v>
      </c>
      <c r="Q10" s="213"/>
      <c r="R10" s="213"/>
      <c r="S10" s="214"/>
      <c r="T10" s="215"/>
      <c r="U10" s="187"/>
      <c r="V10" s="216"/>
      <c r="W10" s="179"/>
    </row>
    <row r="11" spans="2:23" ht="12.75">
      <c r="B11" s="174"/>
      <c r="C11" s="189" t="s">
        <v>88</v>
      </c>
      <c r="D11" s="190" t="s">
        <v>89</v>
      </c>
      <c r="E11" s="217"/>
      <c r="F11" s="192"/>
      <c r="G11" s="199"/>
      <c r="H11" s="200"/>
      <c r="I11" s="200"/>
      <c r="J11" s="200" t="s">
        <v>92</v>
      </c>
      <c r="K11" s="200"/>
      <c r="L11" s="200"/>
      <c r="M11" s="200"/>
      <c r="N11" s="200"/>
      <c r="O11" s="200" t="s">
        <v>93</v>
      </c>
      <c r="P11" s="200"/>
      <c r="Q11" s="200"/>
      <c r="R11" s="200"/>
      <c r="S11" s="201"/>
      <c r="T11" s="189" t="s">
        <v>88</v>
      </c>
      <c r="U11" s="190" t="s">
        <v>91</v>
      </c>
      <c r="V11" s="196">
        <v>21</v>
      </c>
      <c r="W11" s="179"/>
    </row>
    <row r="12" spans="2:23" ht="13.5" thickBot="1">
      <c r="B12" s="174"/>
      <c r="C12" s="189" t="s">
        <v>88</v>
      </c>
      <c r="D12" s="197" t="s">
        <v>94</v>
      </c>
      <c r="E12" s="218"/>
      <c r="F12" s="192"/>
      <c r="G12" s="199"/>
      <c r="H12" s="200"/>
      <c r="I12" s="200" t="s">
        <v>92</v>
      </c>
      <c r="J12" s="200"/>
      <c r="K12" s="200"/>
      <c r="L12" s="200"/>
      <c r="M12" s="200"/>
      <c r="N12" s="200"/>
      <c r="O12" s="200" t="s">
        <v>93</v>
      </c>
      <c r="P12" s="200"/>
      <c r="Q12" s="200"/>
      <c r="R12" s="200"/>
      <c r="S12" s="201"/>
      <c r="T12" s="189" t="s">
        <v>88</v>
      </c>
      <c r="U12" s="197" t="s">
        <v>102</v>
      </c>
      <c r="V12" s="202">
        <v>20.396</v>
      </c>
      <c r="W12" s="179"/>
    </row>
    <row r="13" spans="2:23" ht="12.75">
      <c r="B13" s="174"/>
      <c r="C13" s="189" t="s">
        <v>95</v>
      </c>
      <c r="D13" s="190" t="s">
        <v>103</v>
      </c>
      <c r="E13" s="204" t="str">
        <f>IF(E12=""," ",(E12)/SIN(E11/57.296))</f>
        <v> </v>
      </c>
      <c r="F13" s="219"/>
      <c r="G13" s="220"/>
      <c r="H13" s="200" t="s">
        <v>104</v>
      </c>
      <c r="I13" s="200" t="s">
        <v>105</v>
      </c>
      <c r="J13" s="200" t="s">
        <v>105</v>
      </c>
      <c r="K13" s="200" t="s">
        <v>105</v>
      </c>
      <c r="L13" s="200" t="s">
        <v>105</v>
      </c>
      <c r="M13" s="200" t="s">
        <v>105</v>
      </c>
      <c r="N13" s="200" t="s">
        <v>105</v>
      </c>
      <c r="O13" s="200" t="s">
        <v>93</v>
      </c>
      <c r="P13" s="200"/>
      <c r="Q13" s="200"/>
      <c r="R13" s="200"/>
      <c r="S13" s="201"/>
      <c r="T13" s="189" t="s">
        <v>95</v>
      </c>
      <c r="U13" s="190" t="s">
        <v>96</v>
      </c>
      <c r="V13" s="204">
        <f>IF(V11=""," ",SQRT((V11^2)-(V12^2)))</f>
        <v>5.000318389862787</v>
      </c>
      <c r="W13" s="179"/>
    </row>
    <row r="14" spans="2:23" ht="13.5" thickBot="1">
      <c r="B14" s="174"/>
      <c r="C14" s="189" t="s">
        <v>95</v>
      </c>
      <c r="D14" s="197" t="s">
        <v>97</v>
      </c>
      <c r="E14" s="221" t="str">
        <f>IF(E12=""," ",SQRT((E13^2)-(E12^2)))</f>
        <v> </v>
      </c>
      <c r="F14" s="192"/>
      <c r="G14" s="222"/>
      <c r="H14" s="223"/>
      <c r="I14" s="223"/>
      <c r="J14" s="224"/>
      <c r="K14" s="224"/>
      <c r="L14" s="224" t="s">
        <v>106</v>
      </c>
      <c r="M14" s="223"/>
      <c r="N14" s="223"/>
      <c r="O14" s="223"/>
      <c r="P14" s="223"/>
      <c r="Q14" s="223"/>
      <c r="R14" s="223"/>
      <c r="S14" s="225"/>
      <c r="T14" s="189" t="s">
        <v>95</v>
      </c>
      <c r="U14" s="197" t="s">
        <v>99</v>
      </c>
      <c r="V14" s="226">
        <f>IF(V12=""," ",ATAN(V13/V12)*57.296)</f>
        <v>13.775094416184041</v>
      </c>
      <c r="W14" s="179"/>
    </row>
    <row r="15" spans="2:23" ht="13.5" thickBot="1">
      <c r="B15" s="174"/>
      <c r="C15" s="211"/>
      <c r="D15" s="187"/>
      <c r="E15" s="188"/>
      <c r="F15" s="192"/>
      <c r="G15" s="192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11"/>
      <c r="U15" s="187"/>
      <c r="V15" s="216"/>
      <c r="W15" s="179"/>
    </row>
    <row r="16" spans="2:23" ht="12.75">
      <c r="B16" s="174"/>
      <c r="C16" s="189" t="s">
        <v>88</v>
      </c>
      <c r="D16" s="190" t="s">
        <v>89</v>
      </c>
      <c r="E16" s="217"/>
      <c r="F16" s="192"/>
      <c r="G16" s="192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189" t="s">
        <v>88</v>
      </c>
      <c r="U16" s="190" t="s">
        <v>94</v>
      </c>
      <c r="V16" s="196">
        <v>19</v>
      </c>
      <c r="W16" s="179"/>
    </row>
    <row r="17" spans="2:23" ht="13.5" thickBot="1">
      <c r="B17" s="174"/>
      <c r="C17" s="189" t="s">
        <v>88</v>
      </c>
      <c r="D17" s="197" t="s">
        <v>102</v>
      </c>
      <c r="E17" s="202"/>
      <c r="F17" s="192"/>
      <c r="G17" s="192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189" t="s">
        <v>88</v>
      </c>
      <c r="U17" s="197" t="s">
        <v>102</v>
      </c>
      <c r="V17" s="202">
        <v>30</v>
      </c>
      <c r="W17" s="179"/>
    </row>
    <row r="18" spans="2:23" ht="12.75">
      <c r="B18" s="174"/>
      <c r="C18" s="189" t="s">
        <v>95</v>
      </c>
      <c r="D18" s="190" t="s">
        <v>103</v>
      </c>
      <c r="E18" s="204" t="str">
        <f>IF(E17=""," ",(E17/COS(E16/57.296)))</f>
        <v> </v>
      </c>
      <c r="F18" s="192"/>
      <c r="G18" s="192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189" t="s">
        <v>95</v>
      </c>
      <c r="U18" s="190" t="s">
        <v>103</v>
      </c>
      <c r="V18" s="204">
        <f>IF(V16=""," ",SQRT((V16^2)+(V17^2)))</f>
        <v>35.510561809129406</v>
      </c>
      <c r="W18" s="179"/>
    </row>
    <row r="19" spans="2:23" ht="13.5" thickBot="1">
      <c r="B19" s="174"/>
      <c r="C19" s="189" t="s">
        <v>95</v>
      </c>
      <c r="D19" s="197" t="s">
        <v>96</v>
      </c>
      <c r="E19" s="221" t="str">
        <f>IF(E17=""," ",SQRT((E18^2)-(E17^2)))</f>
        <v> </v>
      </c>
      <c r="F19" s="187"/>
      <c r="G19" s="187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89" t="s">
        <v>95</v>
      </c>
      <c r="U19" s="197" t="s">
        <v>99</v>
      </c>
      <c r="V19" s="226">
        <f>IF(V16=""," ",ATAN(V16/V17)*57.296)</f>
        <v>32.347567979607454</v>
      </c>
      <c r="W19" s="179"/>
    </row>
    <row r="20" spans="2:23" ht="13.5" thickBot="1">
      <c r="B20" s="228"/>
      <c r="C20" s="229"/>
      <c r="D20" s="229"/>
      <c r="E20" s="230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30"/>
      <c r="W20" s="231"/>
    </row>
    <row r="21" ht="8.25" customHeight="1"/>
    <row r="22" spans="5:21" ht="15">
      <c r="E22" s="232" t="s">
        <v>107</v>
      </c>
      <c r="F22" s="233"/>
      <c r="G22" s="233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</row>
  </sheetData>
  <sheetProtection password="C3CC" sheet="1" objects="1" scenarios="1"/>
  <printOptions/>
  <pageMargins left="1.6" right="0.75" top="2.12" bottom="1" header="0.5" footer="0.5"/>
  <pageSetup fitToHeight="1" fitToWidth="1" orientation="portrait" scale="73" r:id="rId1"/>
  <headerFooter alignWithMargins="0">
    <oddHeader>&amp;C&amp;"Times New Roman,Bold Italic"&amp;12Martin Conveyor Division&amp;R&amp;D
&amp;T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P. HICKS.</dc:creator>
  <cp:keywords/>
  <dc:description/>
  <cp:lastModifiedBy>Randy</cp:lastModifiedBy>
  <cp:lastPrinted>2003-03-31T16:31:12Z</cp:lastPrinted>
  <dcterms:modified xsi:type="dcterms:W3CDTF">2012-11-28T00:50:06Z</dcterms:modified>
  <cp:category/>
  <cp:version/>
  <cp:contentType/>
  <cp:contentStatus/>
</cp:coreProperties>
</file>